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3040" windowHeight="8835" tabRatio="775"/>
  </bookViews>
  <sheets>
    <sheet name="invulblad" sheetId="1" r:id="rId1"/>
    <sheet name="kentallen" sheetId="5" r:id="rId2"/>
    <sheet name="rekenhulp wateraanvoer in m3" sheetId="15" r:id="rId3"/>
    <sheet name="figuur zuurstof" sheetId="9" r:id="rId4"/>
    <sheet name="figuren belasting" sheetId="12" r:id="rId5"/>
    <sheet name="figuren toestand" sheetId="16" r:id="rId6"/>
    <sheet name="voorbeelden" sheetId="13" r:id="rId7"/>
    <sheet name="zuurstofberekening" sheetId="4" r:id="rId8"/>
    <sheet name="zuurstofverzadiging" sheetId="6" r:id="rId9"/>
  </sheets>
  <definedNames>
    <definedName name="_xlnm.Print_Area" localSheetId="0">invulblad!$A$1:$W$108</definedName>
  </definedNames>
  <calcPr calcId="145621"/>
</workbook>
</file>

<file path=xl/calcChain.xml><?xml version="1.0" encoding="utf-8"?>
<calcChain xmlns="http://schemas.openxmlformats.org/spreadsheetml/2006/main">
  <c r="C30" i="5" l="1"/>
  <c r="K30" i="5"/>
  <c r="L30" i="5"/>
  <c r="M30" i="5"/>
  <c r="C31" i="5"/>
  <c r="K31" i="5"/>
  <c r="L31" i="5"/>
  <c r="M31" i="5"/>
  <c r="C32" i="5"/>
  <c r="K32" i="5"/>
  <c r="L32" i="5"/>
  <c r="M32" i="5"/>
  <c r="C34" i="5"/>
  <c r="K34" i="5"/>
  <c r="L34" i="5"/>
  <c r="M34" i="5"/>
  <c r="C35" i="5"/>
  <c r="K35" i="5"/>
  <c r="L35" i="5"/>
  <c r="M35" i="5"/>
  <c r="C36" i="5"/>
  <c r="K36" i="5"/>
  <c r="L36" i="5"/>
  <c r="M36" i="5"/>
  <c r="C37" i="5"/>
  <c r="K37" i="5"/>
  <c r="L37" i="5"/>
  <c r="M37" i="5"/>
  <c r="C38" i="5"/>
  <c r="K38" i="5"/>
  <c r="L38" i="5"/>
  <c r="M38" i="5"/>
  <c r="C39" i="5"/>
  <c r="K39" i="5"/>
  <c r="L39" i="5"/>
  <c r="M39" i="5"/>
  <c r="C40" i="5"/>
  <c r="K40" i="5"/>
  <c r="L40" i="5"/>
  <c r="M40" i="5"/>
  <c r="C41" i="5"/>
  <c r="K41" i="5"/>
  <c r="L41" i="5"/>
  <c r="M41" i="5"/>
  <c r="C42" i="5"/>
  <c r="K42" i="5"/>
  <c r="L42" i="5"/>
  <c r="M42" i="5"/>
  <c r="C43" i="5"/>
  <c r="K43" i="5"/>
  <c r="L43" i="5"/>
  <c r="M43" i="5"/>
  <c r="C44" i="5"/>
  <c r="K44" i="5"/>
  <c r="L44" i="5"/>
  <c r="M44" i="5"/>
  <c r="C45" i="5"/>
  <c r="K45" i="5"/>
  <c r="L45" i="5"/>
  <c r="M45" i="5"/>
  <c r="C46" i="5"/>
  <c r="K46" i="5"/>
  <c r="L46" i="5"/>
  <c r="M46" i="5"/>
  <c r="C47" i="5"/>
  <c r="K47" i="5"/>
  <c r="L47" i="5"/>
  <c r="M47" i="5"/>
  <c r="C48" i="5"/>
  <c r="K48" i="5"/>
  <c r="L48" i="5"/>
  <c r="M48" i="5"/>
  <c r="C49" i="5"/>
  <c r="K49" i="5"/>
  <c r="L49" i="5"/>
  <c r="M49" i="5"/>
  <c r="G35" i="4" l="1"/>
  <c r="L65" i="1"/>
  <c r="V65" i="1"/>
  <c r="U65" i="1"/>
  <c r="T65" i="1"/>
  <c r="S65" i="1"/>
  <c r="R65" i="1"/>
  <c r="Q65" i="1"/>
  <c r="P65" i="1"/>
  <c r="O65" i="1"/>
  <c r="N65" i="1"/>
  <c r="M65" i="1"/>
  <c r="K65" i="1"/>
  <c r="C5" i="5" l="1"/>
  <c r="K11" i="1"/>
  <c r="K69" i="1" l="1"/>
  <c r="L69" i="1"/>
  <c r="M69" i="1"/>
  <c r="N69" i="1"/>
  <c r="O69" i="1"/>
  <c r="P69" i="1"/>
  <c r="Q69" i="1"/>
  <c r="R69" i="1"/>
  <c r="S69" i="1"/>
  <c r="U69" i="1"/>
  <c r="V69" i="1"/>
  <c r="J65" i="1" l="1"/>
  <c r="J11" i="1"/>
  <c r="J13" i="1"/>
  <c r="J15" i="1"/>
  <c r="J17" i="1"/>
  <c r="J20" i="1"/>
  <c r="J21" i="1"/>
  <c r="J22" i="1"/>
  <c r="J23" i="1"/>
  <c r="J24" i="1"/>
  <c r="J25" i="1"/>
  <c r="J26" i="1"/>
  <c r="J27" i="1"/>
  <c r="J28" i="1"/>
  <c r="J29" i="1"/>
  <c r="J30" i="1"/>
  <c r="J31" i="1"/>
  <c r="J32" i="1"/>
  <c r="J33" i="1"/>
  <c r="J34" i="1"/>
  <c r="J35" i="1"/>
  <c r="C60" i="16" l="1"/>
  <c r="C58" i="16"/>
  <c r="E55" i="16"/>
  <c r="F55" i="16"/>
  <c r="G55" i="16"/>
  <c r="H55" i="16"/>
  <c r="I55" i="16"/>
  <c r="J55" i="16"/>
  <c r="K55" i="16"/>
  <c r="L55" i="16"/>
  <c r="M55" i="16"/>
  <c r="N55" i="16"/>
  <c r="O55" i="16"/>
  <c r="D55" i="16"/>
  <c r="B68" i="16"/>
  <c r="B69" i="16"/>
  <c r="C69" i="16"/>
  <c r="D69" i="16"/>
  <c r="E69" i="16"/>
  <c r="F69" i="16"/>
  <c r="G69" i="16"/>
  <c r="H69" i="16"/>
  <c r="I69" i="16"/>
  <c r="J69" i="16"/>
  <c r="K69" i="16"/>
  <c r="L69" i="16"/>
  <c r="M69" i="16"/>
  <c r="N69" i="16"/>
  <c r="O69" i="16"/>
  <c r="D65" i="16"/>
  <c r="E65" i="16"/>
  <c r="F65" i="16"/>
  <c r="G65" i="16"/>
  <c r="H65" i="16"/>
  <c r="I65" i="16"/>
  <c r="J65" i="16"/>
  <c r="K65" i="16"/>
  <c r="L65" i="16"/>
  <c r="M65" i="16"/>
  <c r="N65" i="16"/>
  <c r="O65" i="16"/>
  <c r="D66" i="16"/>
  <c r="E66" i="16"/>
  <c r="F66" i="16"/>
  <c r="G66" i="16"/>
  <c r="H66" i="16"/>
  <c r="I66" i="16"/>
  <c r="J66" i="16"/>
  <c r="K66" i="16"/>
  <c r="L66" i="16"/>
  <c r="M66" i="16"/>
  <c r="N66" i="16"/>
  <c r="O66" i="16"/>
  <c r="E64" i="16"/>
  <c r="F64" i="16"/>
  <c r="G64" i="16"/>
  <c r="H64" i="16"/>
  <c r="I64" i="16"/>
  <c r="J64" i="16"/>
  <c r="K64" i="16"/>
  <c r="L64" i="16"/>
  <c r="M64" i="16"/>
  <c r="N64" i="16"/>
  <c r="O64" i="16"/>
  <c r="D64" i="16"/>
  <c r="B65" i="16"/>
  <c r="C65" i="16"/>
  <c r="B66" i="16"/>
  <c r="C66" i="16"/>
  <c r="B64" i="16"/>
  <c r="C64" i="16"/>
  <c r="B56" i="16"/>
  <c r="C56" i="16"/>
  <c r="B58" i="16"/>
  <c r="B60" i="16"/>
  <c r="V59" i="1"/>
  <c r="Q21" i="4" l="1"/>
  <c r="K21" i="4"/>
  <c r="J21" i="4"/>
  <c r="I21" i="4"/>
  <c r="H21" i="4"/>
  <c r="G21" i="4"/>
  <c r="V68" i="1"/>
  <c r="Q20" i="4" s="1"/>
  <c r="Q25" i="4" s="1"/>
  <c r="U68" i="1"/>
  <c r="P20" i="4" s="1"/>
  <c r="T68" i="1"/>
  <c r="O20" i="4" s="1"/>
  <c r="S68" i="1"/>
  <c r="N20" i="4" s="1"/>
  <c r="R68" i="1"/>
  <c r="M20" i="4" s="1"/>
  <c r="Q68" i="1"/>
  <c r="L20" i="4" s="1"/>
  <c r="P68" i="1"/>
  <c r="K20" i="4" s="1"/>
  <c r="K25" i="4" s="1"/>
  <c r="O68" i="1"/>
  <c r="J20" i="4" s="1"/>
  <c r="J25" i="4" s="1"/>
  <c r="N68" i="1"/>
  <c r="I20" i="4" s="1"/>
  <c r="I25" i="4" s="1"/>
  <c r="M68" i="1"/>
  <c r="H20" i="4" s="1"/>
  <c r="H25" i="4" s="1"/>
  <c r="L68" i="1"/>
  <c r="G20" i="4" s="1"/>
  <c r="G25" i="4" s="1"/>
  <c r="K68" i="1"/>
  <c r="F20" i="4" s="1"/>
  <c r="F4" i="4" l="1"/>
  <c r="Q4" i="4"/>
  <c r="P4" i="4"/>
  <c r="O4" i="4"/>
  <c r="N4" i="4"/>
  <c r="M4" i="4"/>
  <c r="L4" i="4"/>
  <c r="K4" i="4"/>
  <c r="J4" i="4"/>
  <c r="I4" i="4"/>
  <c r="H4" i="4"/>
  <c r="G4" i="4"/>
  <c r="Q33" i="4"/>
  <c r="P33" i="4"/>
  <c r="O33" i="4"/>
  <c r="N33" i="4"/>
  <c r="M33" i="4"/>
  <c r="L33" i="4"/>
  <c r="K33" i="4"/>
  <c r="J33" i="4"/>
  <c r="I33" i="4"/>
  <c r="H33" i="4"/>
  <c r="G33" i="4"/>
  <c r="F33" i="4"/>
  <c r="M6" i="5" l="1"/>
  <c r="M5" i="5" l="1"/>
  <c r="M4" i="5"/>
  <c r="M21" i="4"/>
  <c r="M25" i="4" s="1"/>
  <c r="N21" i="4"/>
  <c r="N25" i="4" s="1"/>
  <c r="P21" i="4"/>
  <c r="P25" i="4" s="1"/>
  <c r="L21" i="4"/>
  <c r="L25" i="4" s="1"/>
  <c r="I17" i="1"/>
  <c r="M177" i="12" s="1"/>
  <c r="I15" i="1"/>
  <c r="H176" i="12" s="1"/>
  <c r="I13" i="1"/>
  <c r="T69" i="1" l="1"/>
  <c r="H175" i="12"/>
  <c r="N177" i="12"/>
  <c r="C177" i="12"/>
  <c r="G177" i="12"/>
  <c r="F177" i="12"/>
  <c r="H177" i="12"/>
  <c r="I177" i="12"/>
  <c r="J177" i="12"/>
  <c r="L176" i="12"/>
  <c r="E176" i="12"/>
  <c r="K176" i="12"/>
  <c r="C176" i="12"/>
  <c r="D176" i="12"/>
  <c r="I176" i="12"/>
  <c r="M176" i="12"/>
  <c r="J176" i="12"/>
  <c r="M175" i="12"/>
  <c r="N175" i="12"/>
  <c r="C175" i="12"/>
  <c r="E175" i="12"/>
  <c r="J175" i="12"/>
  <c r="I175" i="12"/>
  <c r="D175" i="12"/>
  <c r="L175" i="12"/>
  <c r="K175" i="12"/>
  <c r="F175" i="12"/>
  <c r="F176" i="12"/>
  <c r="N176" i="12"/>
  <c r="K177" i="12"/>
  <c r="G175" i="12"/>
  <c r="G176" i="12"/>
  <c r="D177" i="12"/>
  <c r="L177" i="12"/>
  <c r="E177" i="12"/>
  <c r="V95" i="1"/>
  <c r="U95" i="1"/>
  <c r="T95" i="1"/>
  <c r="S95" i="1"/>
  <c r="R95" i="1"/>
  <c r="Q95" i="1"/>
  <c r="P95" i="1"/>
  <c r="O95" i="1"/>
  <c r="N95" i="1"/>
  <c r="M95" i="1"/>
  <c r="L95" i="1"/>
  <c r="K95" i="1"/>
  <c r="F6" i="4"/>
  <c r="F8" i="4" s="1"/>
  <c r="G6" i="4"/>
  <c r="G8" i="4" s="1"/>
  <c r="H6" i="4"/>
  <c r="H8" i="4" s="1"/>
  <c r="I6" i="4"/>
  <c r="I8" i="4" s="1"/>
  <c r="J6" i="4"/>
  <c r="J8" i="4" s="1"/>
  <c r="K6" i="4"/>
  <c r="K8" i="4" s="1"/>
  <c r="L6" i="4"/>
  <c r="L8" i="4" s="1"/>
  <c r="M6" i="4"/>
  <c r="M8" i="4" s="1"/>
  <c r="N6" i="4"/>
  <c r="N8" i="4" s="1"/>
  <c r="O6" i="4"/>
  <c r="O8" i="4" s="1"/>
  <c r="P6" i="4"/>
  <c r="P8" i="4" s="1"/>
  <c r="Q6" i="4"/>
  <c r="Q8" i="4" s="1"/>
  <c r="O3" i="4"/>
  <c r="F3" i="4"/>
  <c r="Q3" i="4"/>
  <c r="P3" i="4"/>
  <c r="N3" i="4"/>
  <c r="M3" i="4"/>
  <c r="L3" i="4"/>
  <c r="K3" i="4"/>
  <c r="J3" i="4"/>
  <c r="I3" i="4"/>
  <c r="H3" i="4"/>
  <c r="G3" i="4"/>
  <c r="O21" i="4" l="1"/>
  <c r="O25" i="4" s="1"/>
  <c r="G17" i="4"/>
  <c r="P17" i="4"/>
  <c r="H17" i="4"/>
  <c r="Q17" i="4"/>
  <c r="N17" i="4"/>
  <c r="I17" i="4"/>
  <c r="F17" i="4"/>
  <c r="J17" i="4"/>
  <c r="O17" i="4"/>
  <c r="K17" i="4"/>
  <c r="M17" i="4"/>
  <c r="L17" i="4"/>
  <c r="V101" i="1" l="1"/>
  <c r="U101" i="1"/>
  <c r="T101" i="1"/>
  <c r="S101" i="1"/>
  <c r="R101" i="1"/>
  <c r="Q101" i="1"/>
  <c r="P101" i="1"/>
  <c r="O101" i="1"/>
  <c r="N101" i="1"/>
  <c r="M101" i="1"/>
  <c r="L101" i="1"/>
  <c r="K101" i="1"/>
  <c r="N42" i="15"/>
  <c r="M42" i="15"/>
  <c r="L42" i="15"/>
  <c r="K42" i="15"/>
  <c r="J42" i="15"/>
  <c r="I42" i="15"/>
  <c r="H42" i="15"/>
  <c r="G42" i="15"/>
  <c r="F42" i="15"/>
  <c r="E42" i="15"/>
  <c r="D42" i="15"/>
  <c r="C42" i="15"/>
  <c r="R195" i="12"/>
  <c r="S195" i="12"/>
  <c r="T195" i="12"/>
  <c r="U195" i="12"/>
  <c r="V195" i="12"/>
  <c r="W195" i="12"/>
  <c r="X195" i="12"/>
  <c r="Y195" i="12"/>
  <c r="Z195" i="12"/>
  <c r="AA195" i="12"/>
  <c r="AB195" i="12"/>
  <c r="Q195" i="12"/>
  <c r="F16" i="5"/>
  <c r="F15" i="5"/>
  <c r="F14" i="5"/>
  <c r="G16" i="5"/>
  <c r="G15" i="5"/>
  <c r="G14" i="5"/>
  <c r="N15" i="15"/>
  <c r="N18" i="15" s="1"/>
  <c r="M15" i="15"/>
  <c r="M18" i="15" s="1"/>
  <c r="L15" i="15"/>
  <c r="L18" i="15" s="1"/>
  <c r="K15" i="15"/>
  <c r="K18" i="15" s="1"/>
  <c r="J15" i="15"/>
  <c r="J18" i="15" s="1"/>
  <c r="I15" i="15"/>
  <c r="I18" i="15" s="1"/>
  <c r="H15" i="15"/>
  <c r="H18" i="15" s="1"/>
  <c r="G15" i="15"/>
  <c r="G18" i="15" s="1"/>
  <c r="F15" i="15"/>
  <c r="F18" i="15" s="1"/>
  <c r="E15" i="15"/>
  <c r="E18" i="15" s="1"/>
  <c r="D15" i="15"/>
  <c r="D18" i="15" s="1"/>
  <c r="C15" i="15"/>
  <c r="C18" i="15" s="1"/>
  <c r="N54" i="15"/>
  <c r="M54" i="15"/>
  <c r="L54" i="15"/>
  <c r="K54" i="15"/>
  <c r="J54" i="15"/>
  <c r="I54" i="15"/>
  <c r="H54" i="15"/>
  <c r="G54" i="15"/>
  <c r="F54" i="15"/>
  <c r="E54" i="15"/>
  <c r="D54" i="15"/>
  <c r="C54" i="15"/>
  <c r="G11" i="4" l="1"/>
  <c r="H11" i="4"/>
  <c r="I11" i="4"/>
  <c r="J11" i="4"/>
  <c r="K11" i="4"/>
  <c r="L11" i="4"/>
  <c r="M11" i="4"/>
  <c r="N11" i="4"/>
  <c r="O11" i="4"/>
  <c r="P11" i="4"/>
  <c r="Q11" i="4"/>
  <c r="F11" i="4"/>
  <c r="F21" i="4"/>
  <c r="F35" i="4" l="1"/>
  <c r="F25" i="4"/>
  <c r="B128" i="12"/>
  <c r="P128" i="12" s="1"/>
  <c r="P194" i="12"/>
  <c r="P172" i="12"/>
  <c r="B122" i="12"/>
  <c r="P122" i="12" s="1"/>
  <c r="N192" i="12"/>
  <c r="M192" i="12"/>
  <c r="L192" i="12"/>
  <c r="K192" i="12"/>
  <c r="J192" i="12"/>
  <c r="I192" i="12"/>
  <c r="H192" i="12"/>
  <c r="G192" i="12"/>
  <c r="F192" i="12"/>
  <c r="E192" i="12"/>
  <c r="D192" i="12"/>
  <c r="C192" i="12"/>
  <c r="N191" i="12"/>
  <c r="M191" i="12"/>
  <c r="L191" i="12"/>
  <c r="K191" i="12"/>
  <c r="J191" i="12"/>
  <c r="I191" i="12"/>
  <c r="H191" i="12"/>
  <c r="G191" i="12"/>
  <c r="F191" i="12"/>
  <c r="E191" i="12"/>
  <c r="D191" i="12"/>
  <c r="C191" i="12"/>
  <c r="N190" i="12"/>
  <c r="M190" i="12"/>
  <c r="L190" i="12"/>
  <c r="K190" i="12"/>
  <c r="J190" i="12"/>
  <c r="I190" i="12"/>
  <c r="H190" i="12"/>
  <c r="G190" i="12"/>
  <c r="F190" i="12"/>
  <c r="E190" i="12"/>
  <c r="D190" i="12"/>
  <c r="C190" i="12"/>
  <c r="N189" i="12"/>
  <c r="M189" i="12"/>
  <c r="L189" i="12"/>
  <c r="K189" i="12"/>
  <c r="J189" i="12"/>
  <c r="I189" i="12"/>
  <c r="H189" i="12"/>
  <c r="G189" i="12"/>
  <c r="F189" i="12"/>
  <c r="E189" i="12"/>
  <c r="D189" i="12"/>
  <c r="C189" i="12"/>
  <c r="N170" i="12"/>
  <c r="M170" i="12"/>
  <c r="L170" i="12"/>
  <c r="K170" i="12"/>
  <c r="J170" i="12"/>
  <c r="I170" i="12"/>
  <c r="H170" i="12"/>
  <c r="G170" i="12"/>
  <c r="F170" i="12"/>
  <c r="E170" i="12"/>
  <c r="D170" i="12"/>
  <c r="C170" i="12"/>
  <c r="N169" i="12"/>
  <c r="M169" i="12"/>
  <c r="L169" i="12"/>
  <c r="K169" i="12"/>
  <c r="J169" i="12"/>
  <c r="I169" i="12"/>
  <c r="H169" i="12"/>
  <c r="G169" i="12"/>
  <c r="F169" i="12"/>
  <c r="E169" i="12"/>
  <c r="D169" i="12"/>
  <c r="C169" i="12"/>
  <c r="N168" i="12"/>
  <c r="M168" i="12"/>
  <c r="L168" i="12"/>
  <c r="K168" i="12"/>
  <c r="J168" i="12"/>
  <c r="I168" i="12"/>
  <c r="H168" i="12"/>
  <c r="G168" i="12"/>
  <c r="F168" i="12"/>
  <c r="E168" i="12"/>
  <c r="D168" i="12"/>
  <c r="C168" i="12"/>
  <c r="N167" i="12"/>
  <c r="M167" i="12"/>
  <c r="L167" i="12"/>
  <c r="K167" i="12"/>
  <c r="J167" i="12"/>
  <c r="I167" i="12"/>
  <c r="H167" i="12"/>
  <c r="G167" i="12"/>
  <c r="F167" i="12"/>
  <c r="E167" i="12"/>
  <c r="D167" i="12"/>
  <c r="C167" i="12"/>
  <c r="A192" i="12"/>
  <c r="A154" i="12"/>
  <c r="A176" i="12" s="1"/>
  <c r="A155" i="12"/>
  <c r="A177" i="12" s="1"/>
  <c r="A156" i="12"/>
  <c r="A178" i="12" s="1"/>
  <c r="A157" i="12"/>
  <c r="A179" i="12" s="1"/>
  <c r="A158" i="12"/>
  <c r="A180" i="12" s="1"/>
  <c r="A159" i="12"/>
  <c r="A181" i="12" s="1"/>
  <c r="A160" i="12"/>
  <c r="A182" i="12" s="1"/>
  <c r="A161" i="12"/>
  <c r="A183" i="12" s="1"/>
  <c r="A162" i="12"/>
  <c r="A184" i="12" s="1"/>
  <c r="A163" i="12"/>
  <c r="A185" i="12" s="1"/>
  <c r="A164" i="12"/>
  <c r="A186" i="12" s="1"/>
  <c r="A165" i="12"/>
  <c r="A187" i="12" s="1"/>
  <c r="A166" i="12"/>
  <c r="A188" i="12" s="1"/>
  <c r="B166" i="12"/>
  <c r="B188" i="12" s="1"/>
  <c r="P188" i="12" s="1"/>
  <c r="A167" i="12"/>
  <c r="A189" i="12" s="1"/>
  <c r="A168" i="12"/>
  <c r="A190" i="12" s="1"/>
  <c r="A169" i="12"/>
  <c r="A191" i="12" s="1"/>
  <c r="A170" i="12"/>
  <c r="A153" i="12"/>
  <c r="A175" i="12" s="1"/>
  <c r="P166" i="12" l="1"/>
  <c r="M15" i="5"/>
  <c r="M14" i="5"/>
  <c r="I35" i="1"/>
  <c r="I34" i="1"/>
  <c r="I33" i="1"/>
  <c r="I32" i="1"/>
  <c r="I30" i="1"/>
  <c r="I29" i="1"/>
  <c r="I28" i="1"/>
  <c r="I27" i="1"/>
  <c r="I26" i="1"/>
  <c r="I25" i="1"/>
  <c r="I24" i="1"/>
  <c r="I22" i="1"/>
  <c r="I21" i="1"/>
  <c r="I20" i="1"/>
  <c r="M23" i="5"/>
  <c r="M22" i="5"/>
  <c r="M21" i="5"/>
  <c r="M20" i="5"/>
  <c r="M19" i="5"/>
  <c r="M18" i="5"/>
  <c r="M17" i="5"/>
  <c r="M16" i="5"/>
  <c r="M13" i="5"/>
  <c r="M12" i="5"/>
  <c r="M11" i="5"/>
  <c r="M10" i="5"/>
  <c r="M9" i="5"/>
  <c r="M8" i="5"/>
  <c r="H35" i="1"/>
  <c r="H33" i="1"/>
  <c r="H31" i="1"/>
  <c r="H29" i="1"/>
  <c r="H27" i="1"/>
  <c r="H25" i="1"/>
  <c r="H24" i="1"/>
  <c r="H23" i="1"/>
  <c r="H22" i="1"/>
  <c r="H20" i="1"/>
  <c r="H14" i="1"/>
  <c r="H12" i="1"/>
  <c r="L23" i="5"/>
  <c r="K23" i="5"/>
  <c r="L22" i="5"/>
  <c r="K22" i="5"/>
  <c r="L21" i="5"/>
  <c r="K21" i="5"/>
  <c r="L20" i="5"/>
  <c r="K20" i="5"/>
  <c r="L19" i="5"/>
  <c r="K19" i="5"/>
  <c r="L18" i="5"/>
  <c r="K18" i="5"/>
  <c r="L17" i="5"/>
  <c r="K17" i="5"/>
  <c r="L16" i="5"/>
  <c r="K16" i="5"/>
  <c r="L15" i="5"/>
  <c r="K15" i="5"/>
  <c r="L14" i="5"/>
  <c r="K14" i="5"/>
  <c r="L13" i="5"/>
  <c r="K13" i="5"/>
  <c r="L12" i="5"/>
  <c r="K12" i="5"/>
  <c r="L11" i="5"/>
  <c r="K11" i="5"/>
  <c r="L10" i="5"/>
  <c r="K10" i="5"/>
  <c r="L9" i="5"/>
  <c r="K9" i="5"/>
  <c r="L8" i="5"/>
  <c r="K8" i="5"/>
  <c r="L6" i="5"/>
  <c r="K6" i="5"/>
  <c r="L5" i="5"/>
  <c r="K5" i="5"/>
  <c r="L4" i="5"/>
  <c r="K4" i="5"/>
  <c r="H16" i="1"/>
  <c r="H11" i="1"/>
  <c r="I11" i="1"/>
  <c r="H21" i="1"/>
  <c r="I23" i="1"/>
  <c r="H26" i="1"/>
  <c r="H28" i="1"/>
  <c r="H30" i="1"/>
  <c r="I31" i="1"/>
  <c r="H32" i="1"/>
  <c r="H34" i="1"/>
  <c r="V47" i="1" l="1"/>
  <c r="Q47" i="1"/>
  <c r="N47" i="1"/>
  <c r="P47" i="1"/>
  <c r="K47" i="1"/>
  <c r="M47" i="1"/>
  <c r="U47" i="1"/>
  <c r="O47" i="1"/>
  <c r="T47" i="1"/>
  <c r="L47" i="1"/>
  <c r="S47" i="1"/>
  <c r="R47" i="1"/>
  <c r="V44" i="1"/>
  <c r="H183" i="12"/>
  <c r="G183" i="12"/>
  <c r="N183" i="12"/>
  <c r="F183" i="12"/>
  <c r="M183" i="12"/>
  <c r="E183" i="12"/>
  <c r="L183" i="12"/>
  <c r="D183" i="12"/>
  <c r="K183" i="12"/>
  <c r="C183" i="12"/>
  <c r="J183" i="12"/>
  <c r="I183" i="12"/>
  <c r="H179" i="12"/>
  <c r="G179" i="12"/>
  <c r="N179" i="12"/>
  <c r="F179" i="12"/>
  <c r="M179" i="12"/>
  <c r="E179" i="12"/>
  <c r="L179" i="12"/>
  <c r="D179" i="12"/>
  <c r="K179" i="12"/>
  <c r="C179" i="12"/>
  <c r="J179" i="12"/>
  <c r="I179" i="12"/>
  <c r="H185" i="12"/>
  <c r="G185" i="12"/>
  <c r="N185" i="12"/>
  <c r="F185" i="12"/>
  <c r="M185" i="12"/>
  <c r="E185" i="12"/>
  <c r="L185" i="12"/>
  <c r="D185" i="12"/>
  <c r="K185" i="12"/>
  <c r="C185" i="12"/>
  <c r="J185" i="12"/>
  <c r="I185" i="12"/>
  <c r="L163" i="12"/>
  <c r="D163" i="12"/>
  <c r="K163" i="12"/>
  <c r="C163" i="12"/>
  <c r="J163" i="12"/>
  <c r="I163" i="12"/>
  <c r="H163" i="12"/>
  <c r="G163" i="12"/>
  <c r="N163" i="12"/>
  <c r="F163" i="12"/>
  <c r="M163" i="12"/>
  <c r="E163" i="12"/>
  <c r="L161" i="12"/>
  <c r="D161" i="12"/>
  <c r="K161" i="12"/>
  <c r="C161" i="12"/>
  <c r="J161" i="12"/>
  <c r="I161" i="12"/>
  <c r="H161" i="12"/>
  <c r="G161" i="12"/>
  <c r="N161" i="12"/>
  <c r="F161" i="12"/>
  <c r="M161" i="12"/>
  <c r="E161" i="12"/>
  <c r="L180" i="12"/>
  <c r="D180" i="12"/>
  <c r="K180" i="12"/>
  <c r="C180" i="12"/>
  <c r="J180" i="12"/>
  <c r="I180" i="12"/>
  <c r="H180" i="12"/>
  <c r="G180" i="12"/>
  <c r="N180" i="12"/>
  <c r="F180" i="12"/>
  <c r="M180" i="12"/>
  <c r="E180" i="12"/>
  <c r="H162" i="12"/>
  <c r="G162" i="12"/>
  <c r="N162" i="12"/>
  <c r="F162" i="12"/>
  <c r="M162" i="12"/>
  <c r="E162" i="12"/>
  <c r="L162" i="12"/>
  <c r="D162" i="12"/>
  <c r="K162" i="12"/>
  <c r="C162" i="12"/>
  <c r="J162" i="12"/>
  <c r="I162" i="12"/>
  <c r="L165" i="12"/>
  <c r="D165" i="12"/>
  <c r="K165" i="12"/>
  <c r="C165" i="12"/>
  <c r="J165" i="12"/>
  <c r="I165" i="12"/>
  <c r="H165" i="12"/>
  <c r="G165" i="12"/>
  <c r="N165" i="12"/>
  <c r="F165" i="12"/>
  <c r="M165" i="12"/>
  <c r="E165" i="12"/>
  <c r="H160" i="12"/>
  <c r="G160" i="12"/>
  <c r="N160" i="12"/>
  <c r="F160" i="12"/>
  <c r="M160" i="12"/>
  <c r="E160" i="12"/>
  <c r="L160" i="12"/>
  <c r="D160" i="12"/>
  <c r="K160" i="12"/>
  <c r="C160" i="12"/>
  <c r="J160" i="12"/>
  <c r="I160" i="12"/>
  <c r="L186" i="12"/>
  <c r="D186" i="12"/>
  <c r="K186" i="12"/>
  <c r="C186" i="12"/>
  <c r="J186" i="12"/>
  <c r="I186" i="12"/>
  <c r="H186" i="12"/>
  <c r="G186" i="12"/>
  <c r="N186" i="12"/>
  <c r="F186" i="12"/>
  <c r="M186" i="12"/>
  <c r="E186" i="12"/>
  <c r="L159" i="12"/>
  <c r="D159" i="12"/>
  <c r="K159" i="12"/>
  <c r="C159" i="12"/>
  <c r="J159" i="12"/>
  <c r="I159" i="12"/>
  <c r="H159" i="12"/>
  <c r="G159" i="12"/>
  <c r="N159" i="12"/>
  <c r="F159" i="12"/>
  <c r="M159" i="12"/>
  <c r="E159" i="12"/>
  <c r="H164" i="12"/>
  <c r="G164" i="12"/>
  <c r="N164" i="12"/>
  <c r="F164" i="12"/>
  <c r="M164" i="12"/>
  <c r="E164" i="12"/>
  <c r="L164" i="12"/>
  <c r="D164" i="12"/>
  <c r="K164" i="12"/>
  <c r="C164" i="12"/>
  <c r="J164" i="12"/>
  <c r="I164" i="12"/>
  <c r="H181" i="12"/>
  <c r="G181" i="12"/>
  <c r="N181" i="12"/>
  <c r="F181" i="12"/>
  <c r="M181" i="12"/>
  <c r="E181" i="12"/>
  <c r="L181" i="12"/>
  <c r="D181" i="12"/>
  <c r="K181" i="12"/>
  <c r="C181" i="12"/>
  <c r="J181" i="12"/>
  <c r="I181" i="12"/>
  <c r="L156" i="12"/>
  <c r="D156" i="12"/>
  <c r="K156" i="12"/>
  <c r="C156" i="12"/>
  <c r="J156" i="12"/>
  <c r="I156" i="12"/>
  <c r="H156" i="12"/>
  <c r="G156" i="12"/>
  <c r="N156" i="12"/>
  <c r="F156" i="12"/>
  <c r="M156" i="12"/>
  <c r="E156" i="12"/>
  <c r="H157" i="12"/>
  <c r="G157" i="12"/>
  <c r="N157" i="12"/>
  <c r="F157" i="12"/>
  <c r="M157" i="12"/>
  <c r="E157" i="12"/>
  <c r="L157" i="12"/>
  <c r="D157" i="12"/>
  <c r="K157" i="12"/>
  <c r="C157" i="12"/>
  <c r="J157" i="12"/>
  <c r="I157" i="12"/>
  <c r="L178" i="12"/>
  <c r="D178" i="12"/>
  <c r="K178" i="12"/>
  <c r="C178" i="12"/>
  <c r="J178" i="12"/>
  <c r="I178" i="12"/>
  <c r="H178" i="12"/>
  <c r="G178" i="12"/>
  <c r="N178" i="12"/>
  <c r="F178" i="12"/>
  <c r="M178" i="12"/>
  <c r="E178" i="12"/>
  <c r="L154" i="12"/>
  <c r="D154" i="12"/>
  <c r="K154" i="12"/>
  <c r="C154" i="12"/>
  <c r="J154" i="12"/>
  <c r="I154" i="12"/>
  <c r="H154" i="12"/>
  <c r="G154" i="12"/>
  <c r="N154" i="12"/>
  <c r="F154" i="12"/>
  <c r="M154" i="12"/>
  <c r="E154" i="12"/>
  <c r="H155" i="12"/>
  <c r="G155" i="12"/>
  <c r="N155" i="12"/>
  <c r="F155" i="12"/>
  <c r="M155" i="12"/>
  <c r="E155" i="12"/>
  <c r="L155" i="12"/>
  <c r="D155" i="12"/>
  <c r="K155" i="12"/>
  <c r="C155" i="12"/>
  <c r="J155" i="12"/>
  <c r="I155" i="12"/>
  <c r="L182" i="12"/>
  <c r="D182" i="12"/>
  <c r="K182" i="12"/>
  <c r="C182" i="12"/>
  <c r="J182" i="12"/>
  <c r="I182" i="12"/>
  <c r="H182" i="12"/>
  <c r="G182" i="12"/>
  <c r="N182" i="12"/>
  <c r="F182" i="12"/>
  <c r="M182" i="12"/>
  <c r="E182" i="12"/>
  <c r="L184" i="12"/>
  <c r="D184" i="12"/>
  <c r="K184" i="12"/>
  <c r="C184" i="12"/>
  <c r="J184" i="12"/>
  <c r="I184" i="12"/>
  <c r="H184" i="12"/>
  <c r="G184" i="12"/>
  <c r="N184" i="12"/>
  <c r="F184" i="12"/>
  <c r="M184" i="12"/>
  <c r="E184" i="12"/>
  <c r="H153" i="12"/>
  <c r="G153" i="12"/>
  <c r="N153" i="12"/>
  <c r="F153" i="12"/>
  <c r="M153" i="12"/>
  <c r="E153" i="12"/>
  <c r="L153" i="12"/>
  <c r="D153" i="12"/>
  <c r="K153" i="12"/>
  <c r="C153" i="12"/>
  <c r="J153" i="12"/>
  <c r="I153" i="12"/>
  <c r="M187" i="12"/>
  <c r="I187" i="12"/>
  <c r="E187" i="12"/>
  <c r="L187" i="12"/>
  <c r="H187" i="12"/>
  <c r="D187" i="12"/>
  <c r="K187" i="12"/>
  <c r="G187" i="12"/>
  <c r="C187" i="12"/>
  <c r="N187" i="12"/>
  <c r="J187" i="12"/>
  <c r="F187" i="12"/>
  <c r="I158" i="12"/>
  <c r="H158" i="12"/>
  <c r="G158" i="12"/>
  <c r="N158" i="12"/>
  <c r="F158" i="12"/>
  <c r="M158" i="12"/>
  <c r="E158" i="12"/>
  <c r="L158" i="12"/>
  <c r="D158" i="12"/>
  <c r="K158" i="12"/>
  <c r="C158" i="12"/>
  <c r="J158" i="12"/>
  <c r="B5" i="5"/>
  <c r="H194" i="12" l="1"/>
  <c r="M194" i="12"/>
  <c r="F194" i="12"/>
  <c r="G194" i="12"/>
  <c r="L194" i="12"/>
  <c r="J194" i="12"/>
  <c r="K194" i="12"/>
  <c r="E194" i="12"/>
  <c r="N194" i="12"/>
  <c r="D194" i="12"/>
  <c r="I194" i="12"/>
  <c r="L11" i="1"/>
  <c r="M11" i="1"/>
  <c r="N11" i="1"/>
  <c r="O11" i="1"/>
  <c r="P11" i="1"/>
  <c r="F40" i="15" l="1"/>
  <c r="F13" i="15"/>
  <c r="F5" i="15"/>
  <c r="F21" i="15"/>
  <c r="E40" i="15"/>
  <c r="E13" i="15"/>
  <c r="E5" i="15"/>
  <c r="E21" i="15"/>
  <c r="D40" i="15"/>
  <c r="D13" i="15"/>
  <c r="D5" i="15"/>
  <c r="D21" i="15"/>
  <c r="C40" i="15"/>
  <c r="C13" i="15"/>
  <c r="C5" i="15"/>
  <c r="C21" i="15"/>
  <c r="G21" i="15"/>
  <c r="G40" i="15"/>
  <c r="G13" i="15"/>
  <c r="G5" i="15"/>
  <c r="H21" i="15"/>
  <c r="H5" i="15"/>
  <c r="H40" i="15"/>
  <c r="H13" i="15"/>
  <c r="B132" i="12"/>
  <c r="B110" i="12" s="1"/>
  <c r="P110" i="12" s="1"/>
  <c r="B49" i="5"/>
  <c r="B48" i="5"/>
  <c r="B45" i="5"/>
  <c r="B44" i="5"/>
  <c r="B42" i="5"/>
  <c r="B41" i="5"/>
  <c r="B31" i="5"/>
  <c r="G22" i="1"/>
  <c r="G16" i="1"/>
  <c r="N133" i="12" s="1"/>
  <c r="N111" i="12" s="1"/>
  <c r="G14" i="1"/>
  <c r="G12" i="1"/>
  <c r="I132" i="12" l="1"/>
  <c r="N132" i="12"/>
  <c r="N110" i="12" s="1"/>
  <c r="P132" i="12"/>
  <c r="B154" i="12"/>
  <c r="G30" i="1"/>
  <c r="G31" i="1"/>
  <c r="G23" i="1"/>
  <c r="G24" i="1"/>
  <c r="G20" i="1"/>
  <c r="G32" i="1"/>
  <c r="G33" i="1"/>
  <c r="G26" i="1"/>
  <c r="G34" i="1"/>
  <c r="G27" i="1"/>
  <c r="G35" i="1"/>
  <c r="G28" i="1"/>
  <c r="G29" i="1"/>
  <c r="H132" i="12"/>
  <c r="G132" i="12"/>
  <c r="F132" i="12"/>
  <c r="E132" i="12"/>
  <c r="L132" i="12"/>
  <c r="D132" i="12"/>
  <c r="M132" i="12"/>
  <c r="K132" i="12"/>
  <c r="C132" i="12"/>
  <c r="C110" i="12" s="1"/>
  <c r="J132" i="12"/>
  <c r="G25" i="1"/>
  <c r="G21" i="1"/>
  <c r="N36" i="6"/>
  <c r="P36" i="6" s="1"/>
  <c r="N35" i="6"/>
  <c r="P35" i="6" s="1"/>
  <c r="N34" i="6"/>
  <c r="P34" i="6" s="1"/>
  <c r="N33" i="6"/>
  <c r="P33" i="6" s="1"/>
  <c r="N32" i="6"/>
  <c r="P32" i="6" s="1"/>
  <c r="N31" i="6"/>
  <c r="P31" i="6" s="1"/>
  <c r="N30" i="6"/>
  <c r="P30" i="6" s="1"/>
  <c r="N29" i="6"/>
  <c r="P29" i="6" s="1"/>
  <c r="N28" i="6"/>
  <c r="P28" i="6" s="1"/>
  <c r="N27" i="6"/>
  <c r="P27" i="6" s="1"/>
  <c r="N26" i="6"/>
  <c r="P26" i="6" s="1"/>
  <c r="N25" i="6"/>
  <c r="P25" i="6" s="1"/>
  <c r="N24" i="6"/>
  <c r="P24" i="6" s="1"/>
  <c r="N23" i="6"/>
  <c r="P23" i="6" s="1"/>
  <c r="N22" i="6"/>
  <c r="P22" i="6" s="1"/>
  <c r="N21" i="6"/>
  <c r="P21" i="6" s="1"/>
  <c r="N20" i="6"/>
  <c r="P20" i="6" s="1"/>
  <c r="N19" i="6"/>
  <c r="P19" i="6" s="1"/>
  <c r="N18" i="6"/>
  <c r="P18" i="6" s="1"/>
  <c r="N17" i="6"/>
  <c r="P17" i="6" s="1"/>
  <c r="N16" i="6"/>
  <c r="P16" i="6" s="1"/>
  <c r="N15" i="6"/>
  <c r="P15" i="6" s="1"/>
  <c r="N14" i="6"/>
  <c r="P14" i="6" s="1"/>
  <c r="N13" i="6"/>
  <c r="P13" i="6" s="1"/>
  <c r="N12" i="6"/>
  <c r="P12" i="6" s="1"/>
  <c r="N11" i="6"/>
  <c r="P11" i="6" s="1"/>
  <c r="N10" i="6"/>
  <c r="P10" i="6" s="1"/>
  <c r="N9" i="6"/>
  <c r="P9" i="6" s="1"/>
  <c r="N8" i="6"/>
  <c r="P8" i="6" s="1"/>
  <c r="N7" i="6"/>
  <c r="P7" i="6" s="1"/>
  <c r="Q8" i="6"/>
  <c r="Q9" i="6"/>
  <c r="Q10" i="6"/>
  <c r="Q11" i="6"/>
  <c r="Q12" i="6"/>
  <c r="Q13" i="6"/>
  <c r="Q14" i="6"/>
  <c r="Q15" i="6"/>
  <c r="Q16" i="6"/>
  <c r="Q17" i="6"/>
  <c r="Q18" i="6"/>
  <c r="Q19" i="6"/>
  <c r="Q20" i="6"/>
  <c r="Q21" i="6"/>
  <c r="Q22" i="6"/>
  <c r="Q23" i="6"/>
  <c r="Q24" i="6"/>
  <c r="Q25" i="6"/>
  <c r="Q26" i="6"/>
  <c r="Q27" i="6"/>
  <c r="Q28" i="6"/>
  <c r="Q29" i="6"/>
  <c r="Q30" i="6"/>
  <c r="Q31" i="6"/>
  <c r="Q32" i="6"/>
  <c r="Q33" i="6"/>
  <c r="Q34" i="6"/>
  <c r="Q35" i="6"/>
  <c r="Q36" i="6"/>
  <c r="Q7" i="6"/>
  <c r="U7" i="6"/>
  <c r="R8" i="6" s="1"/>
  <c r="E110" i="12" l="1"/>
  <c r="F110" i="12"/>
  <c r="J110" i="12"/>
  <c r="G110" i="12"/>
  <c r="H110" i="12"/>
  <c r="K110" i="12"/>
  <c r="M110" i="12"/>
  <c r="D110" i="12"/>
  <c r="L110" i="12"/>
  <c r="I110" i="12"/>
  <c r="B176" i="12"/>
  <c r="P176" i="12" s="1"/>
  <c r="P154" i="12"/>
  <c r="R34" i="6"/>
  <c r="R18" i="6"/>
  <c r="R33" i="6"/>
  <c r="R17" i="6"/>
  <c r="R31" i="6"/>
  <c r="R23" i="6"/>
  <c r="R15" i="6"/>
  <c r="R30" i="6"/>
  <c r="R14" i="6"/>
  <c r="R29" i="6"/>
  <c r="R13" i="6"/>
  <c r="R36" i="6"/>
  <c r="R28" i="6"/>
  <c r="R20" i="6"/>
  <c r="R12" i="6"/>
  <c r="R22" i="6"/>
  <c r="R7" i="6"/>
  <c r="R21" i="6"/>
  <c r="R35" i="6"/>
  <c r="R27" i="6"/>
  <c r="R19" i="6"/>
  <c r="R11" i="6"/>
  <c r="R26" i="6"/>
  <c r="R10" i="6"/>
  <c r="R25" i="6"/>
  <c r="R9" i="6"/>
  <c r="R32" i="6"/>
  <c r="R24" i="6"/>
  <c r="R16" i="6"/>
  <c r="G24" i="4" l="1"/>
  <c r="H24" i="4"/>
  <c r="I24" i="4"/>
  <c r="J24" i="4"/>
  <c r="K24" i="4"/>
  <c r="L24" i="4"/>
  <c r="M24" i="4"/>
  <c r="N24" i="4"/>
  <c r="O24" i="4"/>
  <c r="P24" i="4"/>
  <c r="Q24" i="4"/>
  <c r="F24" i="4"/>
  <c r="Q11" i="1" l="1"/>
  <c r="R11" i="1"/>
  <c r="S11" i="1"/>
  <c r="T11" i="1"/>
  <c r="U11" i="1"/>
  <c r="V11" i="1"/>
  <c r="P144" i="12"/>
  <c r="N148" i="12"/>
  <c r="M148" i="12"/>
  <c r="L148" i="12"/>
  <c r="K148" i="12"/>
  <c r="J148" i="12"/>
  <c r="I148" i="12"/>
  <c r="H148" i="12"/>
  <c r="G148" i="12"/>
  <c r="F148" i="12"/>
  <c r="E148" i="12"/>
  <c r="D148" i="12"/>
  <c r="N147" i="12"/>
  <c r="M147" i="12"/>
  <c r="L147" i="12"/>
  <c r="K147" i="12"/>
  <c r="J147" i="12"/>
  <c r="I147" i="12"/>
  <c r="H147" i="12"/>
  <c r="G147" i="12"/>
  <c r="F147" i="12"/>
  <c r="E147" i="12"/>
  <c r="D147" i="12"/>
  <c r="N146" i="12"/>
  <c r="M146" i="12"/>
  <c r="L146" i="12"/>
  <c r="K146" i="12"/>
  <c r="J146" i="12"/>
  <c r="I146" i="12"/>
  <c r="H146" i="12"/>
  <c r="G146" i="12"/>
  <c r="F146" i="12"/>
  <c r="E146" i="12"/>
  <c r="D146" i="12"/>
  <c r="N145" i="12"/>
  <c r="M145" i="12"/>
  <c r="L145" i="12"/>
  <c r="K145" i="12"/>
  <c r="J145" i="12"/>
  <c r="I145" i="12"/>
  <c r="H145" i="12"/>
  <c r="G145" i="12"/>
  <c r="F145" i="12"/>
  <c r="E145" i="12"/>
  <c r="D145" i="12"/>
  <c r="C146" i="12"/>
  <c r="C124" i="12" s="1"/>
  <c r="C147" i="12"/>
  <c r="C125" i="12" s="1"/>
  <c r="C148" i="12"/>
  <c r="C126" i="12" s="1"/>
  <c r="C145" i="12"/>
  <c r="C123" i="12" s="1"/>
  <c r="G32" i="4"/>
  <c r="H32" i="4"/>
  <c r="I32" i="4"/>
  <c r="J32" i="4"/>
  <c r="K32" i="4"/>
  <c r="L32" i="4"/>
  <c r="M32" i="4"/>
  <c r="N32" i="4"/>
  <c r="O32" i="4"/>
  <c r="P32" i="4"/>
  <c r="Q32" i="4"/>
  <c r="F32" i="4"/>
  <c r="N40" i="15" l="1"/>
  <c r="N13" i="15"/>
  <c r="N5" i="15"/>
  <c r="N21" i="15"/>
  <c r="M40" i="15"/>
  <c r="M13" i="15"/>
  <c r="M5" i="15"/>
  <c r="M21" i="15"/>
  <c r="L40" i="15"/>
  <c r="L13" i="15"/>
  <c r="L5" i="15"/>
  <c r="L21" i="15"/>
  <c r="K40" i="15"/>
  <c r="K13" i="15"/>
  <c r="K5" i="15"/>
  <c r="K21" i="15"/>
  <c r="J21" i="15"/>
  <c r="J40" i="15"/>
  <c r="J13" i="15"/>
  <c r="J5" i="15"/>
  <c r="I21" i="15"/>
  <c r="I5" i="15"/>
  <c r="I40" i="15"/>
  <c r="I13" i="15"/>
  <c r="G123" i="12"/>
  <c r="I125" i="12"/>
  <c r="N126" i="12"/>
  <c r="J125" i="12"/>
  <c r="G126" i="12"/>
  <c r="N124" i="12"/>
  <c r="K125" i="12"/>
  <c r="H126" i="12"/>
  <c r="D124" i="12"/>
  <c r="D125" i="12"/>
  <c r="L125" i="12"/>
  <c r="I126" i="12"/>
  <c r="F126" i="12"/>
  <c r="F124" i="12"/>
  <c r="K123" i="12"/>
  <c r="H124" i="12"/>
  <c r="E125" i="12"/>
  <c r="M125" i="12"/>
  <c r="J126" i="12"/>
  <c r="E124" i="12"/>
  <c r="G124" i="12"/>
  <c r="L123" i="12"/>
  <c r="I124" i="12"/>
  <c r="F125" i="12"/>
  <c r="N125" i="12"/>
  <c r="K126" i="12"/>
  <c r="L124" i="12"/>
  <c r="H123" i="12"/>
  <c r="I123" i="12"/>
  <c r="J123" i="12"/>
  <c r="E123" i="12"/>
  <c r="M123" i="12"/>
  <c r="J124" i="12"/>
  <c r="G125" i="12"/>
  <c r="D126" i="12"/>
  <c r="L126" i="12"/>
  <c r="M124" i="12"/>
  <c r="D123" i="12"/>
  <c r="F123" i="12"/>
  <c r="N123" i="12"/>
  <c r="K124" i="12"/>
  <c r="H125" i="12"/>
  <c r="E126" i="12"/>
  <c r="M126" i="12"/>
  <c r="P150" i="12" l="1"/>
  <c r="B148" i="12" l="1"/>
  <c r="B126" i="12" s="1"/>
  <c r="P126" i="12" s="1"/>
  <c r="B147" i="12"/>
  <c r="B125" i="12" s="1"/>
  <c r="P125" i="12" s="1"/>
  <c r="B146" i="12"/>
  <c r="B124" i="12" s="1"/>
  <c r="P124" i="12" s="1"/>
  <c r="B145" i="12"/>
  <c r="B123" i="12" s="1"/>
  <c r="P123" i="12" s="1"/>
  <c r="B143" i="12"/>
  <c r="B121" i="12" s="1"/>
  <c r="P121" i="12" s="1"/>
  <c r="B142" i="12"/>
  <c r="B120" i="12" s="1"/>
  <c r="P120" i="12" s="1"/>
  <c r="B141" i="12"/>
  <c r="B119" i="12" s="1"/>
  <c r="P119" i="12" s="1"/>
  <c r="B140" i="12"/>
  <c r="B118" i="12" s="1"/>
  <c r="P118" i="12" s="1"/>
  <c r="B139" i="12"/>
  <c r="B117" i="12" s="1"/>
  <c r="P117" i="12" s="1"/>
  <c r="B138" i="12"/>
  <c r="B116" i="12" s="1"/>
  <c r="P116" i="12" s="1"/>
  <c r="B137" i="12"/>
  <c r="B115" i="12" s="1"/>
  <c r="P115" i="12" s="1"/>
  <c r="B136" i="12"/>
  <c r="B114" i="12" s="1"/>
  <c r="P114" i="12" s="1"/>
  <c r="B135" i="12"/>
  <c r="B113" i="12" s="1"/>
  <c r="P113" i="12" s="1"/>
  <c r="B134" i="12"/>
  <c r="B112" i="12" s="1"/>
  <c r="P112" i="12" s="1"/>
  <c r="B133" i="12"/>
  <c r="B111" i="12" s="1"/>
  <c r="P111" i="12" s="1"/>
  <c r="B131" i="12"/>
  <c r="B109" i="12" s="1"/>
  <c r="P109" i="12" s="1"/>
  <c r="P140" i="12" l="1"/>
  <c r="B162" i="12"/>
  <c r="P131" i="12"/>
  <c r="B153" i="12"/>
  <c r="P133" i="12"/>
  <c r="B155" i="12"/>
  <c r="P142" i="12"/>
  <c r="B164" i="12"/>
  <c r="P135" i="12"/>
  <c r="B157" i="12"/>
  <c r="P143" i="12"/>
  <c r="B165" i="12"/>
  <c r="P141" i="12"/>
  <c r="B163" i="12"/>
  <c r="P136" i="12"/>
  <c r="B158" i="12"/>
  <c r="P145" i="12"/>
  <c r="B167" i="12"/>
  <c r="P146" i="12"/>
  <c r="B168" i="12"/>
  <c r="P147" i="12"/>
  <c r="B169" i="12"/>
  <c r="P134" i="12"/>
  <c r="B156" i="12"/>
  <c r="P137" i="12"/>
  <c r="B159" i="12"/>
  <c r="P138" i="12"/>
  <c r="B160" i="12"/>
  <c r="P139" i="12"/>
  <c r="B161" i="12"/>
  <c r="P148" i="12"/>
  <c r="B170" i="12"/>
  <c r="B180" i="12" l="1"/>
  <c r="P180" i="12" s="1"/>
  <c r="P158" i="12"/>
  <c r="P164" i="12"/>
  <c r="B186" i="12"/>
  <c r="P186" i="12" s="1"/>
  <c r="P163" i="12"/>
  <c r="B185" i="12"/>
  <c r="P185" i="12" s="1"/>
  <c r="P155" i="12"/>
  <c r="B177" i="12"/>
  <c r="P177" i="12" s="1"/>
  <c r="P156" i="12"/>
  <c r="B178" i="12"/>
  <c r="P178" i="12" s="1"/>
  <c r="P168" i="12"/>
  <c r="B190" i="12"/>
  <c r="P190" i="12" s="1"/>
  <c r="B187" i="12"/>
  <c r="P187" i="12" s="1"/>
  <c r="P165" i="12"/>
  <c r="B175" i="12"/>
  <c r="P175" i="12" s="1"/>
  <c r="P153" i="12"/>
  <c r="B191" i="12"/>
  <c r="P191" i="12" s="1"/>
  <c r="P169" i="12"/>
  <c r="P159" i="12"/>
  <c r="B181" i="12"/>
  <c r="P181" i="12" s="1"/>
  <c r="P167" i="12"/>
  <c r="B189" i="12"/>
  <c r="P189" i="12" s="1"/>
  <c r="B179" i="12"/>
  <c r="P179" i="12" s="1"/>
  <c r="P157" i="12"/>
  <c r="P162" i="12"/>
  <c r="B184" i="12"/>
  <c r="P184" i="12" s="1"/>
  <c r="P170" i="12"/>
  <c r="B192" i="12"/>
  <c r="P192" i="12" s="1"/>
  <c r="B183" i="12"/>
  <c r="P183" i="12" s="1"/>
  <c r="P161" i="12"/>
  <c r="B182" i="12"/>
  <c r="P182" i="12" s="1"/>
  <c r="P160" i="12"/>
  <c r="L59" i="1"/>
  <c r="M59" i="1"/>
  <c r="N59" i="1"/>
  <c r="O59" i="1"/>
  <c r="P59" i="1"/>
  <c r="Q59" i="1"/>
  <c r="R59" i="1"/>
  <c r="S59" i="1"/>
  <c r="T59" i="1"/>
  <c r="U59" i="1"/>
  <c r="K59" i="1"/>
  <c r="K44" i="1" l="1"/>
  <c r="R44" i="1"/>
  <c r="P44" i="1"/>
  <c r="S44" i="1"/>
  <c r="Q44" i="1"/>
  <c r="N44" i="1"/>
  <c r="M44" i="1"/>
  <c r="O44" i="1"/>
  <c r="U44" i="1"/>
  <c r="T44" i="1"/>
  <c r="L44" i="1"/>
  <c r="K67" i="1"/>
  <c r="D7" i="15"/>
  <c r="D22" i="15" s="1"/>
  <c r="L67" i="1"/>
  <c r="J7" i="15"/>
  <c r="J56" i="15" s="1"/>
  <c r="R67" i="1"/>
  <c r="I7" i="15"/>
  <c r="I57" i="15" s="1"/>
  <c r="Q67" i="1"/>
  <c r="H7" i="15"/>
  <c r="H58" i="15" s="1"/>
  <c r="P67" i="1"/>
  <c r="K7" i="15"/>
  <c r="S67" i="1"/>
  <c r="G7" i="15"/>
  <c r="G56" i="15" s="1"/>
  <c r="O67" i="1"/>
  <c r="F7" i="15"/>
  <c r="N67" i="1"/>
  <c r="E7" i="15"/>
  <c r="M67" i="1"/>
  <c r="N7" i="15"/>
  <c r="V67" i="1"/>
  <c r="M7" i="15"/>
  <c r="U67" i="1"/>
  <c r="L7" i="15"/>
  <c r="T67" i="1"/>
  <c r="H57" i="15"/>
  <c r="C7" i="15"/>
  <c r="Y188" i="12"/>
  <c r="Y192" i="12"/>
  <c r="Y170" i="12"/>
  <c r="Y191" i="12"/>
  <c r="Y169" i="12"/>
  <c r="Y167" i="12"/>
  <c r="Y190" i="12"/>
  <c r="Y189" i="12"/>
  <c r="Y168" i="12"/>
  <c r="Y163" i="12"/>
  <c r="Y164" i="12"/>
  <c r="Y158" i="12"/>
  <c r="Y180" i="12"/>
  <c r="Y182" i="12"/>
  <c r="Y154" i="12"/>
  <c r="Y178" i="12"/>
  <c r="Y156" i="12"/>
  <c r="Y186" i="12"/>
  <c r="Y165" i="12"/>
  <c r="Y177" i="12"/>
  <c r="Y181" i="12"/>
  <c r="Y160" i="12"/>
  <c r="Y183" i="12"/>
  <c r="Y187" i="12"/>
  <c r="Y176" i="12"/>
  <c r="Y153" i="12"/>
  <c r="Y179" i="12"/>
  <c r="Y184" i="12"/>
  <c r="Y159" i="12"/>
  <c r="Y161" i="12"/>
  <c r="Y175" i="12"/>
  <c r="Y155" i="12"/>
  <c r="Y157" i="12"/>
  <c r="Y162" i="12"/>
  <c r="Y185" i="12"/>
  <c r="Y194" i="12"/>
  <c r="Y110" i="12"/>
  <c r="Y123" i="12"/>
  <c r="Y124" i="12"/>
  <c r="Y125" i="12"/>
  <c r="Y126" i="12"/>
  <c r="U188" i="12"/>
  <c r="U170" i="12"/>
  <c r="U168" i="12"/>
  <c r="U192" i="12"/>
  <c r="U191" i="12"/>
  <c r="U169" i="12"/>
  <c r="U167" i="12"/>
  <c r="U189" i="12"/>
  <c r="U190" i="12"/>
  <c r="U159" i="12"/>
  <c r="U154" i="12"/>
  <c r="U186" i="12"/>
  <c r="U181" i="12"/>
  <c r="U179" i="12"/>
  <c r="U161" i="12"/>
  <c r="U165" i="12"/>
  <c r="U176" i="12"/>
  <c r="U182" i="12"/>
  <c r="U175" i="12"/>
  <c r="U155" i="12"/>
  <c r="U158" i="12"/>
  <c r="U156" i="12"/>
  <c r="U153" i="12"/>
  <c r="U177" i="12"/>
  <c r="U164" i="12"/>
  <c r="U160" i="12"/>
  <c r="U185" i="12"/>
  <c r="U183" i="12"/>
  <c r="U180" i="12"/>
  <c r="U163" i="12"/>
  <c r="U184" i="12"/>
  <c r="U178" i="12"/>
  <c r="U157" i="12"/>
  <c r="U162" i="12"/>
  <c r="U187" i="12"/>
  <c r="U194" i="12"/>
  <c r="U110" i="12"/>
  <c r="U124" i="12"/>
  <c r="U123" i="12"/>
  <c r="U126" i="12"/>
  <c r="U125" i="12"/>
  <c r="T167" i="12"/>
  <c r="T188" i="12"/>
  <c r="T192" i="12"/>
  <c r="T190" i="12"/>
  <c r="T169" i="12"/>
  <c r="T168" i="12"/>
  <c r="T189" i="12"/>
  <c r="T170" i="12"/>
  <c r="T191" i="12"/>
  <c r="T183" i="12"/>
  <c r="T153" i="12"/>
  <c r="T181" i="12"/>
  <c r="T156" i="12"/>
  <c r="T180" i="12"/>
  <c r="T187" i="12"/>
  <c r="T162" i="12"/>
  <c r="T179" i="12"/>
  <c r="T157" i="12"/>
  <c r="T164" i="12"/>
  <c r="T182" i="12"/>
  <c r="T158" i="12"/>
  <c r="T175" i="12"/>
  <c r="T185" i="12"/>
  <c r="T177" i="12"/>
  <c r="T154" i="12"/>
  <c r="T186" i="12"/>
  <c r="T163" i="12"/>
  <c r="T155" i="12"/>
  <c r="T160" i="12"/>
  <c r="T178" i="12"/>
  <c r="T159" i="12"/>
  <c r="T165" i="12"/>
  <c r="T161" i="12"/>
  <c r="T176" i="12"/>
  <c r="T184" i="12"/>
  <c r="T194" i="12"/>
  <c r="T110" i="12"/>
  <c r="T125" i="12"/>
  <c r="T126" i="12"/>
  <c r="T124" i="12"/>
  <c r="T123" i="12"/>
  <c r="S188" i="12"/>
  <c r="S168" i="12"/>
  <c r="S167" i="12"/>
  <c r="S169" i="12"/>
  <c r="S189" i="12"/>
  <c r="S191" i="12"/>
  <c r="S170" i="12"/>
  <c r="S190" i="12"/>
  <c r="S192" i="12"/>
  <c r="S176" i="12"/>
  <c r="S182" i="12"/>
  <c r="S156" i="12"/>
  <c r="S161" i="12"/>
  <c r="S155" i="12"/>
  <c r="S158" i="12"/>
  <c r="S154" i="12"/>
  <c r="S177" i="12"/>
  <c r="S164" i="12"/>
  <c r="S160" i="12"/>
  <c r="S185" i="12"/>
  <c r="S183" i="12"/>
  <c r="S175" i="12"/>
  <c r="S187" i="12"/>
  <c r="S165" i="12"/>
  <c r="S180" i="12"/>
  <c r="S163" i="12"/>
  <c r="S159" i="12"/>
  <c r="S157" i="12"/>
  <c r="S162" i="12"/>
  <c r="S153" i="12"/>
  <c r="S184" i="12"/>
  <c r="S178" i="12"/>
  <c r="S186" i="12"/>
  <c r="S181" i="12"/>
  <c r="S179" i="12"/>
  <c r="S194" i="12"/>
  <c r="S110" i="12"/>
  <c r="S125" i="12"/>
  <c r="S124" i="12"/>
  <c r="S126" i="12"/>
  <c r="S123" i="12"/>
  <c r="AB169" i="12"/>
  <c r="AB170" i="12"/>
  <c r="AB188" i="12"/>
  <c r="AB167" i="12"/>
  <c r="AB190" i="12"/>
  <c r="AB192" i="12"/>
  <c r="AB191" i="12"/>
  <c r="AB168" i="12"/>
  <c r="AB189" i="12"/>
  <c r="AB179" i="12"/>
  <c r="AB176" i="12"/>
  <c r="AB182" i="12"/>
  <c r="AB178" i="12"/>
  <c r="AB165" i="12"/>
  <c r="AB163" i="12"/>
  <c r="AB187" i="12"/>
  <c r="AB153" i="12"/>
  <c r="AB164" i="12"/>
  <c r="AB185" i="12"/>
  <c r="AB184" i="12"/>
  <c r="AB161" i="12"/>
  <c r="AB160" i="12"/>
  <c r="AB183" i="12"/>
  <c r="AB154" i="12"/>
  <c r="AB156" i="12"/>
  <c r="AB186" i="12"/>
  <c r="AB180" i="12"/>
  <c r="AB175" i="12"/>
  <c r="AB155" i="12"/>
  <c r="AB177" i="12"/>
  <c r="AB157" i="12"/>
  <c r="AB181" i="12"/>
  <c r="AB162" i="12"/>
  <c r="AB159" i="12"/>
  <c r="AB158" i="12"/>
  <c r="AB194" i="12"/>
  <c r="AB110" i="12"/>
  <c r="AB123" i="12"/>
  <c r="AB126" i="12"/>
  <c r="AB125" i="12"/>
  <c r="AB124" i="12"/>
  <c r="X192" i="12"/>
  <c r="X191" i="12"/>
  <c r="X168" i="12"/>
  <c r="X188" i="12"/>
  <c r="X170" i="12"/>
  <c r="X189" i="12"/>
  <c r="X169" i="12"/>
  <c r="X190" i="12"/>
  <c r="X167" i="12"/>
  <c r="X153" i="12"/>
  <c r="X164" i="12"/>
  <c r="X159" i="12"/>
  <c r="X158" i="12"/>
  <c r="X187" i="12"/>
  <c r="X177" i="12"/>
  <c r="X181" i="12"/>
  <c r="X160" i="12"/>
  <c r="X185" i="12"/>
  <c r="X183" i="12"/>
  <c r="X176" i="12"/>
  <c r="X182" i="12"/>
  <c r="X178" i="12"/>
  <c r="X165" i="12"/>
  <c r="X163" i="12"/>
  <c r="X175" i="12"/>
  <c r="X155" i="12"/>
  <c r="X157" i="12"/>
  <c r="X184" i="12"/>
  <c r="X161" i="12"/>
  <c r="X162" i="12"/>
  <c r="X179" i="12"/>
  <c r="X154" i="12"/>
  <c r="X156" i="12"/>
  <c r="X186" i="12"/>
  <c r="X180" i="12"/>
  <c r="X194" i="12"/>
  <c r="X110" i="12"/>
  <c r="X126" i="12"/>
  <c r="X123" i="12"/>
  <c r="X124" i="12"/>
  <c r="X125" i="12"/>
  <c r="AA188" i="12"/>
  <c r="AA189" i="12"/>
  <c r="AA169" i="12"/>
  <c r="AA167" i="12"/>
  <c r="AA191" i="12"/>
  <c r="AA168" i="12"/>
  <c r="AA170" i="12"/>
  <c r="AA190" i="12"/>
  <c r="AA192" i="12"/>
  <c r="AA186" i="12"/>
  <c r="AA161" i="12"/>
  <c r="AA176" i="12"/>
  <c r="AA154" i="12"/>
  <c r="AA156" i="12"/>
  <c r="AA180" i="12"/>
  <c r="AA175" i="12"/>
  <c r="AA155" i="12"/>
  <c r="AA157" i="12"/>
  <c r="AA162" i="12"/>
  <c r="AA185" i="12"/>
  <c r="AA158" i="12"/>
  <c r="AA164" i="12"/>
  <c r="AA182" i="12"/>
  <c r="AA178" i="12"/>
  <c r="AA184" i="12"/>
  <c r="AA177" i="12"/>
  <c r="AA181" i="12"/>
  <c r="AA160" i="12"/>
  <c r="AA183" i="12"/>
  <c r="AA187" i="12"/>
  <c r="AA159" i="12"/>
  <c r="AA165" i="12"/>
  <c r="AA163" i="12"/>
  <c r="AA153" i="12"/>
  <c r="AA179" i="12"/>
  <c r="AA194" i="12"/>
  <c r="AA110" i="12"/>
  <c r="AA125" i="12"/>
  <c r="AA124" i="12"/>
  <c r="AA126" i="12"/>
  <c r="AA123" i="12"/>
  <c r="W188" i="12"/>
  <c r="W167" i="12"/>
  <c r="W189" i="12"/>
  <c r="W191" i="12"/>
  <c r="W170" i="12"/>
  <c r="W192" i="12"/>
  <c r="W168" i="12"/>
  <c r="W190" i="12"/>
  <c r="W169" i="12"/>
  <c r="W185" i="12"/>
  <c r="W178" i="12"/>
  <c r="W159" i="12"/>
  <c r="W165" i="12"/>
  <c r="W161" i="12"/>
  <c r="W176" i="12"/>
  <c r="W187" i="12"/>
  <c r="W158" i="12"/>
  <c r="W175" i="12"/>
  <c r="W164" i="12"/>
  <c r="W157" i="12"/>
  <c r="W160" i="12"/>
  <c r="W156" i="12"/>
  <c r="W180" i="12"/>
  <c r="W177" i="12"/>
  <c r="W183" i="12"/>
  <c r="W153" i="12"/>
  <c r="W155" i="12"/>
  <c r="W181" i="12"/>
  <c r="W182" i="12"/>
  <c r="W162" i="12"/>
  <c r="W179" i="12"/>
  <c r="W184" i="12"/>
  <c r="W154" i="12"/>
  <c r="W186" i="12"/>
  <c r="W163" i="12"/>
  <c r="W194" i="12"/>
  <c r="W110" i="12"/>
  <c r="W125" i="12"/>
  <c r="W123" i="12"/>
  <c r="W124" i="12"/>
  <c r="W126" i="12"/>
  <c r="Z189" i="12"/>
  <c r="Z168" i="12"/>
  <c r="Z190" i="12"/>
  <c r="Z188" i="12"/>
  <c r="Z169" i="12"/>
  <c r="Z191" i="12"/>
  <c r="Z192" i="12"/>
  <c r="Z170" i="12"/>
  <c r="Z167" i="12"/>
  <c r="Z153" i="12"/>
  <c r="Z154" i="12"/>
  <c r="Z156" i="12"/>
  <c r="Z186" i="12"/>
  <c r="Z180" i="12"/>
  <c r="Z187" i="12"/>
  <c r="Z158" i="12"/>
  <c r="Z159" i="12"/>
  <c r="Z164" i="12"/>
  <c r="Z177" i="12"/>
  <c r="Z181" i="12"/>
  <c r="Z160" i="12"/>
  <c r="Z162" i="12"/>
  <c r="Z179" i="12"/>
  <c r="Z185" i="12"/>
  <c r="Z176" i="12"/>
  <c r="Z182" i="12"/>
  <c r="Z178" i="12"/>
  <c r="Z165" i="12"/>
  <c r="Z163" i="12"/>
  <c r="Z175" i="12"/>
  <c r="Z155" i="12"/>
  <c r="Z157" i="12"/>
  <c r="Z183" i="12"/>
  <c r="Z184" i="12"/>
  <c r="Z161" i="12"/>
  <c r="Z194" i="12"/>
  <c r="Z110" i="12"/>
  <c r="Z123" i="12"/>
  <c r="Z126" i="12"/>
  <c r="Z125" i="12"/>
  <c r="Z124" i="12"/>
  <c r="V190" i="12"/>
  <c r="V167" i="12"/>
  <c r="V169" i="12"/>
  <c r="V188" i="12"/>
  <c r="V191" i="12"/>
  <c r="V170" i="12"/>
  <c r="V189" i="12"/>
  <c r="V168" i="12"/>
  <c r="V192" i="12"/>
  <c r="V154" i="12"/>
  <c r="V156" i="12"/>
  <c r="V182" i="12"/>
  <c r="V178" i="12"/>
  <c r="V186" i="12"/>
  <c r="V165" i="12"/>
  <c r="V163" i="12"/>
  <c r="V153" i="12"/>
  <c r="V179" i="12"/>
  <c r="V187" i="12"/>
  <c r="V184" i="12"/>
  <c r="V176" i="12"/>
  <c r="V180" i="12"/>
  <c r="V175" i="12"/>
  <c r="V155" i="12"/>
  <c r="V157" i="12"/>
  <c r="V162" i="12"/>
  <c r="V185" i="12"/>
  <c r="V159" i="12"/>
  <c r="V161" i="12"/>
  <c r="V164" i="12"/>
  <c r="V177" i="12"/>
  <c r="V181" i="12"/>
  <c r="V160" i="12"/>
  <c r="V183" i="12"/>
  <c r="V158" i="12"/>
  <c r="V194" i="12"/>
  <c r="V110" i="12"/>
  <c r="V126" i="12"/>
  <c r="V125" i="12"/>
  <c r="V123" i="12"/>
  <c r="V124" i="12"/>
  <c r="R168" i="12"/>
  <c r="R189" i="12"/>
  <c r="R188" i="12"/>
  <c r="R170" i="12"/>
  <c r="R167" i="12"/>
  <c r="R190" i="12"/>
  <c r="R169" i="12"/>
  <c r="R192" i="12"/>
  <c r="R191" i="12"/>
  <c r="R162" i="12"/>
  <c r="R179" i="12"/>
  <c r="R155" i="12"/>
  <c r="R157" i="12"/>
  <c r="R176" i="12"/>
  <c r="R184" i="12"/>
  <c r="R154" i="12"/>
  <c r="R186" i="12"/>
  <c r="R163" i="12"/>
  <c r="R158" i="12"/>
  <c r="R187" i="12"/>
  <c r="R185" i="12"/>
  <c r="R177" i="12"/>
  <c r="R178" i="12"/>
  <c r="R159" i="12"/>
  <c r="R165" i="12"/>
  <c r="R161" i="12"/>
  <c r="R175" i="12"/>
  <c r="R160" i="12"/>
  <c r="R156" i="12"/>
  <c r="R180" i="12"/>
  <c r="R183" i="12"/>
  <c r="R164" i="12"/>
  <c r="R153" i="12"/>
  <c r="R181" i="12"/>
  <c r="R182" i="12"/>
  <c r="R194" i="12"/>
  <c r="R110" i="12"/>
  <c r="R126" i="12"/>
  <c r="R124" i="12"/>
  <c r="R125" i="12"/>
  <c r="R123" i="12"/>
  <c r="Q165" i="12"/>
  <c r="Q168" i="12"/>
  <c r="Q164" i="12"/>
  <c r="Q154" i="12"/>
  <c r="Q189" i="12"/>
  <c r="Q184" i="12"/>
  <c r="Q177" i="12"/>
  <c r="Q175" i="12"/>
  <c r="Q163" i="12"/>
  <c r="Q153" i="12"/>
  <c r="Q162" i="12"/>
  <c r="Q156" i="12"/>
  <c r="Q192" i="12"/>
  <c r="Q191" i="12"/>
  <c r="Q190" i="12"/>
  <c r="Q183" i="12"/>
  <c r="Q182" i="12"/>
  <c r="Q180" i="12"/>
  <c r="Q160" i="12"/>
  <c r="Q181" i="12"/>
  <c r="Q176" i="12"/>
  <c r="Q161" i="12"/>
  <c r="Q170" i="12"/>
  <c r="Q186" i="12"/>
  <c r="Q185" i="12"/>
  <c r="Q179" i="12"/>
  <c r="Q169" i="12"/>
  <c r="Q159" i="12"/>
  <c r="Q157" i="12"/>
  <c r="Q155" i="12"/>
  <c r="Q178" i="12"/>
  <c r="Q167" i="12"/>
  <c r="Q158" i="12"/>
  <c r="Q187" i="12"/>
  <c r="Q110" i="12"/>
  <c r="Q124" i="12"/>
  <c r="Q123" i="12"/>
  <c r="Q126" i="12"/>
  <c r="Q125" i="12"/>
  <c r="L43" i="1"/>
  <c r="G30" i="4" s="1"/>
  <c r="G14" i="4" s="1"/>
  <c r="S43" i="1"/>
  <c r="N30" i="4" s="1"/>
  <c r="N14" i="4" s="1"/>
  <c r="R43" i="1"/>
  <c r="M30" i="4" s="1"/>
  <c r="M14" i="4" s="1"/>
  <c r="Q43" i="1"/>
  <c r="L30" i="4" s="1"/>
  <c r="L14" i="4" s="1"/>
  <c r="P43" i="1"/>
  <c r="K30" i="4" s="1"/>
  <c r="K14" i="4" s="1"/>
  <c r="O43" i="1"/>
  <c r="J30" i="4" s="1"/>
  <c r="J14" i="4" s="1"/>
  <c r="T43" i="1"/>
  <c r="O30" i="4" s="1"/>
  <c r="K43" i="1"/>
  <c r="F30" i="4" s="1"/>
  <c r="F14" i="4" s="1"/>
  <c r="V43" i="1"/>
  <c r="Q30" i="4" s="1"/>
  <c r="N43" i="1"/>
  <c r="I30" i="4" s="1"/>
  <c r="I14" i="4" s="1"/>
  <c r="U43" i="1"/>
  <c r="P30" i="4" s="1"/>
  <c r="M43" i="1"/>
  <c r="H30" i="4" s="1"/>
  <c r="H14" i="4" s="1"/>
  <c r="Q42" i="1"/>
  <c r="S132" i="12"/>
  <c r="M42" i="1"/>
  <c r="AB132" i="12"/>
  <c r="V42" i="1"/>
  <c r="T132" i="12"/>
  <c r="N42" i="1"/>
  <c r="AA132" i="12"/>
  <c r="U42" i="1"/>
  <c r="L42" i="1"/>
  <c r="R132" i="12"/>
  <c r="Z132" i="12"/>
  <c r="T42" i="1"/>
  <c r="S42" i="1"/>
  <c r="Y132" i="12"/>
  <c r="R42" i="1"/>
  <c r="X132" i="12"/>
  <c r="P42" i="1"/>
  <c r="V132" i="12"/>
  <c r="O42" i="1"/>
  <c r="U132" i="12"/>
  <c r="Q132" i="12"/>
  <c r="W132" i="12"/>
  <c r="Q147" i="12"/>
  <c r="Q148" i="12"/>
  <c r="Q146" i="12"/>
  <c r="AB148" i="12"/>
  <c r="AB146" i="12"/>
  <c r="AB147" i="12"/>
  <c r="S146" i="12"/>
  <c r="S147" i="12"/>
  <c r="S148" i="12"/>
  <c r="T148" i="12"/>
  <c r="T146" i="12"/>
  <c r="T147" i="12"/>
  <c r="Z148" i="12"/>
  <c r="Z146" i="12"/>
  <c r="Z147" i="12"/>
  <c r="R148" i="12"/>
  <c r="R146" i="12"/>
  <c r="R147" i="12"/>
  <c r="Y147" i="12"/>
  <c r="Y148" i="12"/>
  <c r="Y146" i="12"/>
  <c r="X147" i="12"/>
  <c r="X148" i="12"/>
  <c r="X146" i="12"/>
  <c r="U146" i="12"/>
  <c r="U147" i="12"/>
  <c r="U148" i="12"/>
  <c r="W147" i="12"/>
  <c r="W148" i="12"/>
  <c r="W146" i="12"/>
  <c r="AA146" i="12"/>
  <c r="AA147" i="12"/>
  <c r="AA148" i="12"/>
  <c r="V146" i="12"/>
  <c r="V148" i="12"/>
  <c r="V147" i="12"/>
  <c r="C130" i="12"/>
  <c r="C108" i="12" s="1"/>
  <c r="Q108" i="12" s="1"/>
  <c r="D130" i="12"/>
  <c r="D108" i="12" s="1"/>
  <c r="R108" i="12" s="1"/>
  <c r="E130" i="12"/>
  <c r="E108" i="12" s="1"/>
  <c r="S108" i="12" s="1"/>
  <c r="F130" i="12"/>
  <c r="F108" i="12" s="1"/>
  <c r="T108" i="12" s="1"/>
  <c r="G130" i="12"/>
  <c r="G108" i="12" s="1"/>
  <c r="U108" i="12" s="1"/>
  <c r="H130" i="12"/>
  <c r="H108" i="12" s="1"/>
  <c r="V108" i="12" s="1"/>
  <c r="I130" i="12"/>
  <c r="I108" i="12" s="1"/>
  <c r="W108" i="12" s="1"/>
  <c r="J130" i="12"/>
  <c r="J108" i="12" s="1"/>
  <c r="X108" i="12" s="1"/>
  <c r="K130" i="12"/>
  <c r="K108" i="12" s="1"/>
  <c r="Y108" i="12" s="1"/>
  <c r="L130" i="12"/>
  <c r="L108" i="12" s="1"/>
  <c r="Z108" i="12" s="1"/>
  <c r="M130" i="12"/>
  <c r="M108" i="12" s="1"/>
  <c r="AA108" i="12" s="1"/>
  <c r="N130" i="12"/>
  <c r="N108" i="12" s="1"/>
  <c r="AB108" i="12" s="1"/>
  <c r="M144" i="12" l="1"/>
  <c r="U70" i="1"/>
  <c r="G144" i="12"/>
  <c r="O70" i="1"/>
  <c r="J144" i="12"/>
  <c r="R70" i="1"/>
  <c r="M22" i="4" s="1"/>
  <c r="N144" i="12"/>
  <c r="V70" i="1"/>
  <c r="Q22" i="4" s="1"/>
  <c r="K144" i="12"/>
  <c r="S70" i="1"/>
  <c r="N22" i="4" s="1"/>
  <c r="L70" i="1"/>
  <c r="G22" i="4" s="1"/>
  <c r="D144" i="12"/>
  <c r="H144" i="12"/>
  <c r="P70" i="1"/>
  <c r="K22" i="4" s="1"/>
  <c r="C144" i="12"/>
  <c r="Q144" i="12" s="1"/>
  <c r="K70" i="1"/>
  <c r="F22" i="4" s="1"/>
  <c r="L144" i="12"/>
  <c r="T70" i="1"/>
  <c r="O22" i="4" s="1"/>
  <c r="F144" i="12"/>
  <c r="N70" i="1"/>
  <c r="I22" i="4" s="1"/>
  <c r="I144" i="12"/>
  <c r="Q70" i="1"/>
  <c r="L22" i="4" s="1"/>
  <c r="R94" i="1"/>
  <c r="M70" i="1"/>
  <c r="H22" i="4" s="1"/>
  <c r="E144" i="12"/>
  <c r="P22" i="4"/>
  <c r="M166" i="12"/>
  <c r="E166" i="12"/>
  <c r="J22" i="4"/>
  <c r="G166" i="12"/>
  <c r="H166" i="12"/>
  <c r="J166" i="12"/>
  <c r="K48" i="1"/>
  <c r="K49" i="1" s="1"/>
  <c r="D68" i="16" s="1"/>
  <c r="C166" i="12"/>
  <c r="L166" i="12"/>
  <c r="N166" i="12"/>
  <c r="F166" i="12"/>
  <c r="K166" i="12"/>
  <c r="I166" i="12"/>
  <c r="D166" i="12"/>
  <c r="P94" i="1"/>
  <c r="L94" i="1"/>
  <c r="M48" i="1"/>
  <c r="M49" i="1" s="1"/>
  <c r="F68" i="16" s="1"/>
  <c r="N48" i="1"/>
  <c r="N49" i="1" s="1"/>
  <c r="G68" i="16" s="1"/>
  <c r="O48" i="1"/>
  <c r="O49" i="1" s="1"/>
  <c r="H68" i="16" s="1"/>
  <c r="P48" i="1"/>
  <c r="P49" i="1" s="1"/>
  <c r="I68" i="16" s="1"/>
  <c r="L48" i="1"/>
  <c r="L49" i="1" s="1"/>
  <c r="E68" i="16" s="1"/>
  <c r="U48" i="1"/>
  <c r="U49" i="1" s="1"/>
  <c r="N68" i="16" s="1"/>
  <c r="T48" i="1"/>
  <c r="T49" i="1" s="1"/>
  <c r="M68" i="16" s="1"/>
  <c r="Q48" i="1"/>
  <c r="Q49" i="1" s="1"/>
  <c r="J68" i="16" s="1"/>
  <c r="R48" i="1"/>
  <c r="R49" i="1" s="1"/>
  <c r="K68" i="16" s="1"/>
  <c r="V48" i="1"/>
  <c r="V49" i="1" s="1"/>
  <c r="O68" i="16" s="1"/>
  <c r="S48" i="1"/>
  <c r="S49" i="1" s="1"/>
  <c r="L68" i="16" s="1"/>
  <c r="O94" i="1"/>
  <c r="T94" i="1"/>
  <c r="Q94" i="1"/>
  <c r="V94" i="1"/>
  <c r="M94" i="1"/>
  <c r="N94" i="1"/>
  <c r="S94" i="1"/>
  <c r="U94" i="1"/>
  <c r="Q14" i="4"/>
  <c r="Q31" i="4" s="1"/>
  <c r="P14" i="4"/>
  <c r="P31" i="4" s="1"/>
  <c r="O14" i="4"/>
  <c r="O31" i="4" s="1"/>
  <c r="F19" i="4"/>
  <c r="F18" i="4" s="1"/>
  <c r="I31" i="4"/>
  <c r="J31" i="4"/>
  <c r="N31" i="4"/>
  <c r="K31" i="4"/>
  <c r="G31" i="4"/>
  <c r="H31" i="4"/>
  <c r="F31" i="4"/>
  <c r="L31" i="4"/>
  <c r="M31" i="4"/>
  <c r="D41" i="15"/>
  <c r="D46" i="15" s="1"/>
  <c r="D55" i="15"/>
  <c r="D10" i="15"/>
  <c r="D58" i="15"/>
  <c r="C55" i="15"/>
  <c r="C22" i="15"/>
  <c r="N56" i="15"/>
  <c r="N22" i="15"/>
  <c r="K58" i="15"/>
  <c r="K22" i="15"/>
  <c r="E57" i="15"/>
  <c r="E22" i="15"/>
  <c r="H56" i="15"/>
  <c r="H22" i="15"/>
  <c r="L55" i="15"/>
  <c r="L22" i="15"/>
  <c r="F56" i="15"/>
  <c r="F22" i="15"/>
  <c r="I56" i="15"/>
  <c r="I22" i="15"/>
  <c r="M57" i="15"/>
  <c r="M22" i="15"/>
  <c r="G57" i="15"/>
  <c r="G22" i="15"/>
  <c r="J10" i="15"/>
  <c r="J22" i="15"/>
  <c r="C10" i="15"/>
  <c r="E10" i="15"/>
  <c r="M10" i="15"/>
  <c r="M58" i="15"/>
  <c r="H55" i="15"/>
  <c r="K55" i="15"/>
  <c r="G10" i="15"/>
  <c r="E41" i="15"/>
  <c r="E46" i="15" s="1"/>
  <c r="E55" i="15"/>
  <c r="F41" i="15"/>
  <c r="F46" i="15" s="1"/>
  <c r="L56" i="15"/>
  <c r="F57" i="15"/>
  <c r="L41" i="15"/>
  <c r="L46" i="15" s="1"/>
  <c r="I10" i="15"/>
  <c r="F58" i="15"/>
  <c r="L57" i="15"/>
  <c r="I58" i="15"/>
  <c r="N55" i="15"/>
  <c r="L10" i="15"/>
  <c r="I55" i="15"/>
  <c r="F55" i="15"/>
  <c r="N10" i="15"/>
  <c r="K56" i="15"/>
  <c r="K10" i="15"/>
  <c r="N57" i="15"/>
  <c r="M56" i="15"/>
  <c r="J55" i="15"/>
  <c r="G58" i="15"/>
  <c r="M41" i="15"/>
  <c r="M46" i="15" s="1"/>
  <c r="J41" i="15"/>
  <c r="J46" i="15" s="1"/>
  <c r="N41" i="15"/>
  <c r="N46" i="15" s="1"/>
  <c r="G41" i="15"/>
  <c r="G46" i="15" s="1"/>
  <c r="C41" i="15"/>
  <c r="C46" i="15" s="1"/>
  <c r="M55" i="15"/>
  <c r="J58" i="15"/>
  <c r="J57" i="15"/>
  <c r="N58" i="15"/>
  <c r="H10" i="15"/>
  <c r="K57" i="15"/>
  <c r="K41" i="15"/>
  <c r="K46" i="15" s="1"/>
  <c r="L58" i="15"/>
  <c r="I41" i="15"/>
  <c r="I46" i="15" s="1"/>
  <c r="F10" i="15"/>
  <c r="G55" i="15"/>
  <c r="H41" i="15"/>
  <c r="H46" i="15" s="1"/>
  <c r="C56" i="15"/>
  <c r="Q166" i="12"/>
  <c r="C172" i="12"/>
  <c r="Q172" i="12" s="1"/>
  <c r="Q188" i="12"/>
  <c r="C194" i="12"/>
  <c r="Q194" i="12" s="1"/>
  <c r="V130" i="12"/>
  <c r="H174" i="12"/>
  <c r="V174" i="12" s="1"/>
  <c r="H152" i="12"/>
  <c r="V152" i="12" s="1"/>
  <c r="U130" i="12"/>
  <c r="G174" i="12"/>
  <c r="U174" i="12" s="1"/>
  <c r="G152" i="12"/>
  <c r="U152" i="12" s="1"/>
  <c r="AB130" i="12"/>
  <c r="N174" i="12"/>
  <c r="AB174" i="12" s="1"/>
  <c r="N152" i="12"/>
  <c r="AB152" i="12" s="1"/>
  <c r="T130" i="12"/>
  <c r="F174" i="12"/>
  <c r="T174" i="12" s="1"/>
  <c r="F152" i="12"/>
  <c r="T152" i="12" s="1"/>
  <c r="W130" i="12"/>
  <c r="I152" i="12"/>
  <c r="W152" i="12" s="1"/>
  <c r="I174" i="12"/>
  <c r="W174" i="12" s="1"/>
  <c r="AA130" i="12"/>
  <c r="M174" i="12"/>
  <c r="AA174" i="12" s="1"/>
  <c r="M152" i="12"/>
  <c r="AA152" i="12" s="1"/>
  <c r="S130" i="12"/>
  <c r="E174" i="12"/>
  <c r="S174" i="12" s="1"/>
  <c r="E152" i="12"/>
  <c r="S152" i="12" s="1"/>
  <c r="Z130" i="12"/>
  <c r="L152" i="12"/>
  <c r="Z152" i="12" s="1"/>
  <c r="L174" i="12"/>
  <c r="Z174" i="12" s="1"/>
  <c r="R130" i="12"/>
  <c r="D152" i="12"/>
  <c r="R152" i="12" s="1"/>
  <c r="D174" i="12"/>
  <c r="R174" i="12" s="1"/>
  <c r="Q130" i="12"/>
  <c r="C174" i="12"/>
  <c r="Q174" i="12" s="1"/>
  <c r="C152" i="12"/>
  <c r="Q152" i="12" s="1"/>
  <c r="Y130" i="12"/>
  <c r="K152" i="12"/>
  <c r="Y152" i="12" s="1"/>
  <c r="K174" i="12"/>
  <c r="Y174" i="12" s="1"/>
  <c r="X130" i="12"/>
  <c r="J152" i="12"/>
  <c r="X152" i="12" s="1"/>
  <c r="J174" i="12"/>
  <c r="X174" i="12" s="1"/>
  <c r="Q60" i="4"/>
  <c r="Q2" i="4" s="1"/>
  <c r="Q69" i="4"/>
  <c r="Q59" i="4" s="1"/>
  <c r="Q12" i="4"/>
  <c r="G69" i="4"/>
  <c r="H69" i="4"/>
  <c r="I69" i="4"/>
  <c r="J69" i="4"/>
  <c r="K69" i="4"/>
  <c r="L69" i="4"/>
  <c r="M69" i="4"/>
  <c r="N69" i="4"/>
  <c r="O69" i="4"/>
  <c r="P69" i="4"/>
  <c r="P12" i="4"/>
  <c r="O12" i="4"/>
  <c r="N12" i="4"/>
  <c r="M12" i="4"/>
  <c r="L12" i="4"/>
  <c r="K12" i="4"/>
  <c r="J12" i="4"/>
  <c r="I12" i="4"/>
  <c r="H12" i="4"/>
  <c r="G12" i="4"/>
  <c r="F12" i="4"/>
  <c r="C122" i="12" l="1"/>
  <c r="Q122" i="12" s="1"/>
  <c r="F23" i="4"/>
  <c r="D57" i="15"/>
  <c r="H59" i="15"/>
  <c r="H37" i="15" s="1"/>
  <c r="D56" i="15"/>
  <c r="E56" i="15"/>
  <c r="E58" i="15"/>
  <c r="M59" i="15"/>
  <c r="M37" i="15" s="1"/>
  <c r="K59" i="15"/>
  <c r="K37" i="15" s="1"/>
  <c r="G59" i="15"/>
  <c r="G37" i="15" s="1"/>
  <c r="I59" i="15"/>
  <c r="I37" i="15" s="1"/>
  <c r="F59" i="15"/>
  <c r="F37" i="15" s="1"/>
  <c r="L59" i="15"/>
  <c r="L37" i="15" s="1"/>
  <c r="N59" i="15"/>
  <c r="N37" i="15" s="1"/>
  <c r="J59" i="15"/>
  <c r="J37" i="15" s="1"/>
  <c r="C57" i="15"/>
  <c r="C58" i="15"/>
  <c r="B21" i="5"/>
  <c r="B47" i="5" s="1"/>
  <c r="C21" i="5"/>
  <c r="C20" i="5"/>
  <c r="B20" i="5"/>
  <c r="B46" i="5" s="1"/>
  <c r="D59" i="15" l="1"/>
  <c r="D37" i="15" s="1"/>
  <c r="F7" i="4"/>
  <c r="F9" i="4" s="1"/>
  <c r="F10" i="4" s="1"/>
  <c r="K78" i="1" s="1"/>
  <c r="E59" i="15"/>
  <c r="E37" i="15" s="1"/>
  <c r="C59" i="15"/>
  <c r="C37" i="15" s="1"/>
  <c r="G143" i="12"/>
  <c r="I143" i="12"/>
  <c r="J143" i="12"/>
  <c r="K143" i="12"/>
  <c r="C143" i="12"/>
  <c r="C121" i="12" s="1"/>
  <c r="D143" i="12"/>
  <c r="L143" i="12"/>
  <c r="H143" i="12"/>
  <c r="E143" i="12"/>
  <c r="M143" i="12"/>
  <c r="F143" i="12"/>
  <c r="N143" i="12"/>
  <c r="R145" i="12"/>
  <c r="Z145" i="12"/>
  <c r="T145" i="12"/>
  <c r="AB145" i="12"/>
  <c r="U145" i="12"/>
  <c r="V145" i="12"/>
  <c r="AA145" i="12"/>
  <c r="W145" i="12"/>
  <c r="X145" i="12"/>
  <c r="Y145" i="12"/>
  <c r="Q145" i="12"/>
  <c r="S145" i="12"/>
  <c r="B17" i="5"/>
  <c r="B43" i="5" s="1"/>
  <c r="B14" i="5"/>
  <c r="B40" i="5" s="1"/>
  <c r="B13" i="5"/>
  <c r="B39" i="5" s="1"/>
  <c r="B12" i="5"/>
  <c r="B38" i="5" s="1"/>
  <c r="B11" i="5"/>
  <c r="B37" i="5" s="1"/>
  <c r="B10" i="5"/>
  <c r="B36" i="5" s="1"/>
  <c r="B9" i="5"/>
  <c r="B35" i="5" s="1"/>
  <c r="C17" i="5"/>
  <c r="C14" i="5"/>
  <c r="C13" i="5"/>
  <c r="C12" i="5"/>
  <c r="C11" i="5"/>
  <c r="C10" i="5"/>
  <c r="C9" i="5"/>
  <c r="C8" i="5"/>
  <c r="C6" i="5"/>
  <c r="C4" i="5"/>
  <c r="B8" i="5"/>
  <c r="B34" i="5" s="1"/>
  <c r="B6" i="5"/>
  <c r="B32" i="5" s="1"/>
  <c r="B4" i="5"/>
  <c r="B30" i="5" s="1"/>
  <c r="G11" i="1"/>
  <c r="H121" i="12" l="1"/>
  <c r="V121" i="12" s="1"/>
  <c r="D121" i="12"/>
  <c r="R121" i="12" s="1"/>
  <c r="N121" i="12"/>
  <c r="AB121" i="12" s="1"/>
  <c r="K121" i="12"/>
  <c r="Y121" i="12" s="1"/>
  <c r="F121" i="12"/>
  <c r="T121" i="12" s="1"/>
  <c r="J121" i="12"/>
  <c r="X121" i="12" s="1"/>
  <c r="L121" i="12"/>
  <c r="Z121" i="12" s="1"/>
  <c r="M121" i="12"/>
  <c r="AA121" i="12" s="1"/>
  <c r="I121" i="12"/>
  <c r="W121" i="12" s="1"/>
  <c r="E121" i="12"/>
  <c r="S121" i="12" s="1"/>
  <c r="G121" i="12"/>
  <c r="U121" i="12" s="1"/>
  <c r="V143" i="12"/>
  <c r="Z143" i="12"/>
  <c r="R143" i="12"/>
  <c r="Q143" i="12"/>
  <c r="Q121" i="12"/>
  <c r="AB143" i="12"/>
  <c r="Y143" i="12"/>
  <c r="X143" i="12"/>
  <c r="T143" i="12"/>
  <c r="AA143" i="12"/>
  <c r="W143" i="12"/>
  <c r="S143" i="12"/>
  <c r="U143" i="12"/>
  <c r="D142" i="12"/>
  <c r="D120" i="12" s="1"/>
  <c r="L142" i="12"/>
  <c r="L120" i="12" s="1"/>
  <c r="M142" i="12"/>
  <c r="M120" i="12" s="1"/>
  <c r="N142" i="12"/>
  <c r="N120" i="12" s="1"/>
  <c r="E142" i="12"/>
  <c r="E120" i="12" s="1"/>
  <c r="F142" i="12"/>
  <c r="F120" i="12" s="1"/>
  <c r="G142" i="12"/>
  <c r="G120" i="12" s="1"/>
  <c r="C142" i="12"/>
  <c r="C120" i="12" s="1"/>
  <c r="H142" i="12"/>
  <c r="H120" i="12" s="1"/>
  <c r="I142" i="12"/>
  <c r="I120" i="12" s="1"/>
  <c r="J142" i="12"/>
  <c r="J120" i="12" s="1"/>
  <c r="K142" i="12"/>
  <c r="J134" i="12"/>
  <c r="J112" i="12" s="1"/>
  <c r="D134" i="12"/>
  <c r="D112" i="12" s="1"/>
  <c r="L134" i="12"/>
  <c r="L112" i="12" s="1"/>
  <c r="E134" i="12"/>
  <c r="E112" i="12" s="1"/>
  <c r="M134" i="12"/>
  <c r="M112" i="12" s="1"/>
  <c r="F134" i="12"/>
  <c r="F112" i="12" s="1"/>
  <c r="N134" i="12"/>
  <c r="N112" i="12" s="1"/>
  <c r="C134" i="12"/>
  <c r="C112" i="12" s="1"/>
  <c r="K134" i="12"/>
  <c r="K112" i="12" s="1"/>
  <c r="G134" i="12"/>
  <c r="G112" i="12" s="1"/>
  <c r="H134" i="12"/>
  <c r="H112" i="12" s="1"/>
  <c r="I134" i="12"/>
  <c r="I112" i="12" s="1"/>
  <c r="E141" i="12"/>
  <c r="E119" i="12" s="1"/>
  <c r="M141" i="12"/>
  <c r="M119" i="12" s="1"/>
  <c r="G141" i="12"/>
  <c r="G119" i="12" s="1"/>
  <c r="H141" i="12"/>
  <c r="H119" i="12" s="1"/>
  <c r="I141" i="12"/>
  <c r="I119" i="12" s="1"/>
  <c r="N141" i="12"/>
  <c r="N119" i="12" s="1"/>
  <c r="J141" i="12"/>
  <c r="J119" i="12" s="1"/>
  <c r="C141" i="12"/>
  <c r="C119" i="12" s="1"/>
  <c r="K141" i="12"/>
  <c r="K119" i="12" s="1"/>
  <c r="F141" i="12"/>
  <c r="F119" i="12" s="1"/>
  <c r="D141" i="12"/>
  <c r="D119" i="12" s="1"/>
  <c r="L141" i="12"/>
  <c r="L119" i="12" s="1"/>
  <c r="H131" i="12"/>
  <c r="H109" i="12" s="1"/>
  <c r="J131" i="12"/>
  <c r="J109" i="12" s="1"/>
  <c r="K131" i="12"/>
  <c r="K109" i="12" s="1"/>
  <c r="D131" i="12"/>
  <c r="D109" i="12" s="1"/>
  <c r="L131" i="12"/>
  <c r="L109" i="12" s="1"/>
  <c r="E131" i="12"/>
  <c r="E109" i="12" s="1"/>
  <c r="M131" i="12"/>
  <c r="M109" i="12" s="1"/>
  <c r="C131" i="12"/>
  <c r="F131" i="12"/>
  <c r="F109" i="12" s="1"/>
  <c r="N131" i="12"/>
  <c r="N109" i="12" s="1"/>
  <c r="I131" i="12"/>
  <c r="I109" i="12" s="1"/>
  <c r="G131" i="12"/>
  <c r="G109" i="12" s="1"/>
  <c r="D136" i="12"/>
  <c r="D114" i="12" s="1"/>
  <c r="L136" i="12"/>
  <c r="L114" i="12" s="1"/>
  <c r="C136" i="12"/>
  <c r="C114" i="12" s="1"/>
  <c r="F136" i="12"/>
  <c r="F114" i="12" s="1"/>
  <c r="N136" i="12"/>
  <c r="N114" i="12" s="1"/>
  <c r="G136" i="12"/>
  <c r="G114" i="12" s="1"/>
  <c r="H136" i="12"/>
  <c r="H114" i="12" s="1"/>
  <c r="I136" i="12"/>
  <c r="I114" i="12" s="1"/>
  <c r="J136" i="12"/>
  <c r="J114" i="12" s="1"/>
  <c r="M136" i="12"/>
  <c r="M114" i="12" s="1"/>
  <c r="K136" i="12"/>
  <c r="K114" i="12" s="1"/>
  <c r="E136" i="12"/>
  <c r="E114" i="12" s="1"/>
  <c r="G135" i="12"/>
  <c r="G113" i="12" s="1"/>
  <c r="H135" i="12"/>
  <c r="H113" i="12" s="1"/>
  <c r="I135" i="12"/>
  <c r="I113" i="12" s="1"/>
  <c r="J135" i="12"/>
  <c r="J113" i="12" s="1"/>
  <c r="K135" i="12"/>
  <c r="K113" i="12" s="1"/>
  <c r="D135" i="12"/>
  <c r="D113" i="12" s="1"/>
  <c r="L135" i="12"/>
  <c r="L113" i="12" s="1"/>
  <c r="E135" i="12"/>
  <c r="E113" i="12" s="1"/>
  <c r="M135" i="12"/>
  <c r="M113" i="12" s="1"/>
  <c r="F135" i="12"/>
  <c r="F113" i="12" s="1"/>
  <c r="N135" i="12"/>
  <c r="N113" i="12" s="1"/>
  <c r="C135" i="12"/>
  <c r="C113" i="12" s="1"/>
  <c r="E133" i="12"/>
  <c r="E111" i="12" s="1"/>
  <c r="M133" i="12"/>
  <c r="M111" i="12" s="1"/>
  <c r="F133" i="12"/>
  <c r="F111" i="12" s="1"/>
  <c r="G133" i="12"/>
  <c r="G111" i="12" s="1"/>
  <c r="H133" i="12"/>
  <c r="H111" i="12" s="1"/>
  <c r="I133" i="12"/>
  <c r="I111" i="12" s="1"/>
  <c r="J133" i="12"/>
  <c r="J111" i="12" s="1"/>
  <c r="C133" i="12"/>
  <c r="C111" i="12" s="1"/>
  <c r="K133" i="12"/>
  <c r="K111" i="12" s="1"/>
  <c r="D133" i="12"/>
  <c r="D111" i="12" s="1"/>
  <c r="L133" i="12"/>
  <c r="L111" i="12" s="1"/>
  <c r="I137" i="12"/>
  <c r="I115" i="12" s="1"/>
  <c r="K137" i="12"/>
  <c r="K115" i="12" s="1"/>
  <c r="L137" i="12"/>
  <c r="L115" i="12" s="1"/>
  <c r="D137" i="12"/>
  <c r="D115" i="12" s="1"/>
  <c r="E137" i="12"/>
  <c r="E115" i="12" s="1"/>
  <c r="M137" i="12"/>
  <c r="M115" i="12" s="1"/>
  <c r="F137" i="12"/>
  <c r="F115" i="12" s="1"/>
  <c r="N137" i="12"/>
  <c r="N115" i="12" s="1"/>
  <c r="J137" i="12"/>
  <c r="J115" i="12" s="1"/>
  <c r="C137" i="12"/>
  <c r="C115" i="12" s="1"/>
  <c r="G137" i="12"/>
  <c r="G115" i="12" s="1"/>
  <c r="H137" i="12"/>
  <c r="H115" i="12" s="1"/>
  <c r="H140" i="12"/>
  <c r="H118" i="12" s="1"/>
  <c r="J140" i="12"/>
  <c r="J118" i="12" s="1"/>
  <c r="K140" i="12"/>
  <c r="K118" i="12" s="1"/>
  <c r="D140" i="12"/>
  <c r="D118" i="12" s="1"/>
  <c r="L140" i="12"/>
  <c r="L118" i="12" s="1"/>
  <c r="E140" i="12"/>
  <c r="E118" i="12" s="1"/>
  <c r="M140" i="12"/>
  <c r="M118" i="12" s="1"/>
  <c r="F140" i="12"/>
  <c r="F118" i="12" s="1"/>
  <c r="N140" i="12"/>
  <c r="N118" i="12" s="1"/>
  <c r="C140" i="12"/>
  <c r="C118" i="12" s="1"/>
  <c r="G140" i="12"/>
  <c r="G118" i="12" s="1"/>
  <c r="I140" i="12"/>
  <c r="I118" i="12" s="1"/>
  <c r="G60" i="4"/>
  <c r="G2" i="4" s="1"/>
  <c r="H60" i="4"/>
  <c r="H2" i="4" s="1"/>
  <c r="I60" i="4"/>
  <c r="I2" i="4" s="1"/>
  <c r="J60" i="4"/>
  <c r="J2" i="4" s="1"/>
  <c r="K60" i="4"/>
  <c r="K2" i="4" s="1"/>
  <c r="L60" i="4"/>
  <c r="L2" i="4" s="1"/>
  <c r="M60" i="4"/>
  <c r="M2" i="4" s="1"/>
  <c r="N60" i="4"/>
  <c r="N2" i="4" s="1"/>
  <c r="O60" i="4"/>
  <c r="O2" i="4" s="1"/>
  <c r="P60" i="4"/>
  <c r="P2" i="4" s="1"/>
  <c r="F60" i="4"/>
  <c r="F2" i="4" s="1"/>
  <c r="C109" i="12" l="1"/>
  <c r="K120" i="12"/>
  <c r="Y120" i="12" s="1"/>
  <c r="Z137" i="12"/>
  <c r="Z115" i="12"/>
  <c r="Q141" i="12"/>
  <c r="Q119" i="12"/>
  <c r="W134" i="12"/>
  <c r="W112" i="12"/>
  <c r="AA140" i="12"/>
  <c r="AA118" i="12"/>
  <c r="Q135" i="12"/>
  <c r="Q113" i="12"/>
  <c r="U131" i="12"/>
  <c r="U109" i="12"/>
  <c r="Q142" i="12"/>
  <c r="Q120" i="12"/>
  <c r="S140" i="12"/>
  <c r="S118" i="12"/>
  <c r="Q137" i="12"/>
  <c r="Q115" i="12"/>
  <c r="Y137" i="12"/>
  <c r="Y115" i="12"/>
  <c r="W133" i="12"/>
  <c r="W111" i="12"/>
  <c r="AB135" i="12"/>
  <c r="AB113" i="12"/>
  <c r="W135" i="12"/>
  <c r="W113" i="12"/>
  <c r="V136" i="12"/>
  <c r="V114" i="12"/>
  <c r="W131" i="12"/>
  <c r="W109" i="12"/>
  <c r="Y131" i="12"/>
  <c r="Y109" i="12"/>
  <c r="X141" i="12"/>
  <c r="X119" i="12"/>
  <c r="V134" i="12"/>
  <c r="V112" i="12"/>
  <c r="Z134" i="12"/>
  <c r="Z112" i="12"/>
  <c r="U142" i="12"/>
  <c r="U120" i="12"/>
  <c r="U137" i="12"/>
  <c r="U115" i="12"/>
  <c r="X133" i="12"/>
  <c r="X111" i="12"/>
  <c r="X135" i="12"/>
  <c r="X113" i="12"/>
  <c r="W136" i="12"/>
  <c r="W114" i="12"/>
  <c r="R131" i="12"/>
  <c r="R109" i="12"/>
  <c r="S134" i="12"/>
  <c r="S112" i="12"/>
  <c r="Z140" i="12"/>
  <c r="Z118" i="12"/>
  <c r="X137" i="12"/>
  <c r="X115" i="12"/>
  <c r="W137" i="12"/>
  <c r="W115" i="12"/>
  <c r="V133" i="12"/>
  <c r="V111" i="12"/>
  <c r="T135" i="12"/>
  <c r="T113" i="12"/>
  <c r="V135" i="12"/>
  <c r="V113" i="12"/>
  <c r="U136" i="12"/>
  <c r="U114" i="12"/>
  <c r="AB131" i="12"/>
  <c r="AB109" i="12"/>
  <c r="X131" i="12"/>
  <c r="X109" i="12"/>
  <c r="AB141" i="12"/>
  <c r="AB119" i="12"/>
  <c r="U134" i="12"/>
  <c r="U112" i="12"/>
  <c r="R134" i="12"/>
  <c r="R112" i="12"/>
  <c r="T142" i="12"/>
  <c r="T120" i="12"/>
  <c r="W140" i="12"/>
  <c r="W118" i="12"/>
  <c r="R140" i="12"/>
  <c r="R118" i="12"/>
  <c r="AB137" i="12"/>
  <c r="AB115" i="12"/>
  <c r="Y142" i="12"/>
  <c r="U133" i="12"/>
  <c r="U111" i="12"/>
  <c r="AA135" i="12"/>
  <c r="AA113" i="12"/>
  <c r="U135" i="12"/>
  <c r="U113" i="12"/>
  <c r="AB136" i="12"/>
  <c r="AB114" i="12"/>
  <c r="T131" i="12"/>
  <c r="T109" i="12"/>
  <c r="V131" i="12"/>
  <c r="V109" i="12"/>
  <c r="W141" i="12"/>
  <c r="W119" i="12"/>
  <c r="Y134" i="12"/>
  <c r="Y112" i="12"/>
  <c r="X134" i="12"/>
  <c r="X112" i="12"/>
  <c r="S142" i="12"/>
  <c r="S120" i="12"/>
  <c r="AB133" i="12"/>
  <c r="AB111" i="12"/>
  <c r="Q131" i="12"/>
  <c r="Q109" i="12"/>
  <c r="V141" i="12"/>
  <c r="V119" i="12"/>
  <c r="AB142" i="12"/>
  <c r="AB120" i="12"/>
  <c r="Y140" i="12"/>
  <c r="Y118" i="12"/>
  <c r="Q140" i="12"/>
  <c r="Q118" i="12"/>
  <c r="X140" i="12"/>
  <c r="X118" i="12"/>
  <c r="AA137" i="12"/>
  <c r="AA115" i="12"/>
  <c r="R133" i="12"/>
  <c r="R111" i="12"/>
  <c r="T133" i="12"/>
  <c r="T111" i="12"/>
  <c r="Z135" i="12"/>
  <c r="Z113" i="12"/>
  <c r="Y136" i="12"/>
  <c r="Y114" i="12"/>
  <c r="Q136" i="12"/>
  <c r="Q114" i="12"/>
  <c r="AA131" i="12"/>
  <c r="AA109" i="12"/>
  <c r="R141" i="12"/>
  <c r="R119" i="12"/>
  <c r="U141" i="12"/>
  <c r="U119" i="12"/>
  <c r="AB134" i="12"/>
  <c r="AB112" i="12"/>
  <c r="X142" i="12"/>
  <c r="X120" i="12"/>
  <c r="AA142" i="12"/>
  <c r="AA120" i="12"/>
  <c r="U140" i="12"/>
  <c r="U118" i="12"/>
  <c r="Z133" i="12"/>
  <c r="Z111" i="12"/>
  <c r="S135" i="12"/>
  <c r="S113" i="12"/>
  <c r="S136" i="12"/>
  <c r="S114" i="12"/>
  <c r="T136" i="12"/>
  <c r="T114" i="12"/>
  <c r="Z141" i="12"/>
  <c r="Z119" i="12"/>
  <c r="Q134" i="12"/>
  <c r="Q112" i="12"/>
  <c r="AB140" i="12"/>
  <c r="AB118" i="12"/>
  <c r="V140" i="12"/>
  <c r="V118" i="12"/>
  <c r="S137" i="12"/>
  <c r="S115" i="12"/>
  <c r="Y133" i="12"/>
  <c r="Y111" i="12"/>
  <c r="AA133" i="12"/>
  <c r="AA111" i="12"/>
  <c r="R135" i="12"/>
  <c r="R113" i="12"/>
  <c r="AA136" i="12"/>
  <c r="AA114" i="12"/>
  <c r="Z136" i="12"/>
  <c r="Z114" i="12"/>
  <c r="S131" i="12"/>
  <c r="S109" i="12"/>
  <c r="T141" i="12"/>
  <c r="T119" i="12"/>
  <c r="AA141" i="12"/>
  <c r="AA119" i="12"/>
  <c r="T134" i="12"/>
  <c r="T112" i="12"/>
  <c r="W142" i="12"/>
  <c r="W120" i="12"/>
  <c r="Z142" i="12"/>
  <c r="Z120" i="12"/>
  <c r="T137" i="12"/>
  <c r="T115" i="12"/>
  <c r="T140" i="12"/>
  <c r="T118" i="12"/>
  <c r="V137" i="12"/>
  <c r="V115" i="12"/>
  <c r="R137" i="12"/>
  <c r="R115" i="12"/>
  <c r="Q133" i="12"/>
  <c r="Q111" i="12"/>
  <c r="S133" i="12"/>
  <c r="S111" i="12"/>
  <c r="Y135" i="12"/>
  <c r="Y113" i="12"/>
  <c r="X136" i="12"/>
  <c r="X114" i="12"/>
  <c r="R136" i="12"/>
  <c r="R114" i="12"/>
  <c r="Z131" i="12"/>
  <c r="Z109" i="12"/>
  <c r="Y141" i="12"/>
  <c r="Y119" i="12"/>
  <c r="S141" i="12"/>
  <c r="S119" i="12"/>
  <c r="AA134" i="12"/>
  <c r="AA112" i="12"/>
  <c r="V142" i="12"/>
  <c r="V120" i="12"/>
  <c r="R142" i="12"/>
  <c r="R120" i="12"/>
  <c r="F138" i="12"/>
  <c r="F116" i="12" s="1"/>
  <c r="D138" i="12"/>
  <c r="D116" i="12" s="1"/>
  <c r="N138" i="12"/>
  <c r="N116" i="12" s="1"/>
  <c r="L138" i="12"/>
  <c r="L116" i="12" s="1"/>
  <c r="K138" i="12"/>
  <c r="G138" i="12"/>
  <c r="G116" i="12" s="1"/>
  <c r="E138" i="12"/>
  <c r="E116" i="12" s="1"/>
  <c r="H138" i="12"/>
  <c r="H116" i="12" s="1"/>
  <c r="M138" i="12"/>
  <c r="C138" i="12"/>
  <c r="C116" i="12" s="1"/>
  <c r="I138" i="12"/>
  <c r="I116" i="12" s="1"/>
  <c r="J138" i="12"/>
  <c r="J116" i="12" s="1"/>
  <c r="K139" i="12"/>
  <c r="K117" i="12" s="1"/>
  <c r="L139" i="12"/>
  <c r="L117" i="12" s="1"/>
  <c r="E139" i="12"/>
  <c r="E117" i="12" s="1"/>
  <c r="M139" i="12"/>
  <c r="M117" i="12" s="1"/>
  <c r="F139" i="12"/>
  <c r="F117" i="12" s="1"/>
  <c r="N139" i="12"/>
  <c r="N117" i="12" s="1"/>
  <c r="G139" i="12"/>
  <c r="G117" i="12" s="1"/>
  <c r="D139" i="12"/>
  <c r="D117" i="12" s="1"/>
  <c r="C139" i="12"/>
  <c r="C117" i="12" s="1"/>
  <c r="H139" i="12"/>
  <c r="H117" i="12" s="1"/>
  <c r="I139" i="12"/>
  <c r="I117" i="12" s="1"/>
  <c r="J139" i="12"/>
  <c r="J117" i="12" s="1"/>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7" i="6"/>
  <c r="J5" i="4" l="1"/>
  <c r="N5" i="4"/>
  <c r="F5" i="4"/>
  <c r="H5" i="4"/>
  <c r="G5" i="4"/>
  <c r="K5" i="4"/>
  <c r="O5" i="4"/>
  <c r="L5" i="4"/>
  <c r="I5" i="4"/>
  <c r="M5" i="4"/>
  <c r="Q5" i="4"/>
  <c r="P5" i="4"/>
  <c r="M116" i="12"/>
  <c r="AA116" i="12" s="1"/>
  <c r="K116" i="12"/>
  <c r="Y116" i="12" s="1"/>
  <c r="C150" i="12"/>
  <c r="C128" i="12" s="1"/>
  <c r="Q128" i="12" s="1"/>
  <c r="R139" i="12"/>
  <c r="R117" i="12"/>
  <c r="U139" i="12"/>
  <c r="U117" i="12"/>
  <c r="W138" i="12"/>
  <c r="W116" i="12"/>
  <c r="AB138" i="12"/>
  <c r="AB116" i="12"/>
  <c r="AB139" i="12"/>
  <c r="AB117" i="12"/>
  <c r="Q138" i="12"/>
  <c r="Q116" i="12"/>
  <c r="R138" i="12"/>
  <c r="R116" i="12"/>
  <c r="T139" i="12"/>
  <c r="T117" i="12"/>
  <c r="AA138" i="12"/>
  <c r="T138" i="12"/>
  <c r="T116" i="12"/>
  <c r="V138" i="12"/>
  <c r="V116" i="12"/>
  <c r="AA139" i="12"/>
  <c r="AA117" i="12"/>
  <c r="X139" i="12"/>
  <c r="X117" i="12"/>
  <c r="W139" i="12"/>
  <c r="W117" i="12"/>
  <c r="S139" i="12"/>
  <c r="S117" i="12"/>
  <c r="S138" i="12"/>
  <c r="S116" i="12"/>
  <c r="V139" i="12"/>
  <c r="V117" i="12"/>
  <c r="Z139" i="12"/>
  <c r="Z117" i="12"/>
  <c r="U138" i="12"/>
  <c r="U116" i="12"/>
  <c r="Q139" i="12"/>
  <c r="Q117" i="12"/>
  <c r="Y139" i="12"/>
  <c r="Y117" i="12"/>
  <c r="Y138" i="12"/>
  <c r="Z138" i="12"/>
  <c r="Z116" i="12"/>
  <c r="X138" i="12"/>
  <c r="X116" i="12"/>
  <c r="G59" i="4"/>
  <c r="H59" i="4"/>
  <c r="I59" i="4"/>
  <c r="J59" i="4"/>
  <c r="K59" i="4"/>
  <c r="L59" i="4"/>
  <c r="M59" i="4"/>
  <c r="N59" i="4"/>
  <c r="O59" i="4"/>
  <c r="P59" i="4"/>
  <c r="F69" i="4"/>
  <c r="F59" i="4" s="1"/>
  <c r="J28" i="4" l="1"/>
  <c r="J13" i="4" s="1"/>
  <c r="Q28" i="4"/>
  <c r="Q13" i="4" s="1"/>
  <c r="I28" i="4"/>
  <c r="I13" i="4" s="1"/>
  <c r="P28" i="4"/>
  <c r="P13" i="4" s="1"/>
  <c r="H28" i="4"/>
  <c r="H13" i="4" s="1"/>
  <c r="O28" i="4"/>
  <c r="O13" i="4" s="1"/>
  <c r="N28" i="4"/>
  <c r="N13" i="4" s="1"/>
  <c r="M28" i="4"/>
  <c r="M13" i="4" s="1"/>
  <c r="L28" i="4"/>
  <c r="L13" i="4" s="1"/>
  <c r="K28" i="4"/>
  <c r="K13" i="4" s="1"/>
  <c r="G28" i="4"/>
  <c r="G13" i="4" s="1"/>
  <c r="Q60" i="1"/>
  <c r="L26" i="4" s="1"/>
  <c r="P60" i="1"/>
  <c r="K26" i="4" s="1"/>
  <c r="S60" i="1"/>
  <c r="N26" i="4" s="1"/>
  <c r="R60" i="1"/>
  <c r="M26" i="4" s="1"/>
  <c r="O60" i="1"/>
  <c r="J26" i="4" s="1"/>
  <c r="V60" i="1"/>
  <c r="Q26" i="4" s="1"/>
  <c r="N60" i="1"/>
  <c r="I26" i="4" s="1"/>
  <c r="U60" i="1"/>
  <c r="P26" i="4" s="1"/>
  <c r="M60" i="1"/>
  <c r="H26" i="4" s="1"/>
  <c r="T60" i="1"/>
  <c r="O26" i="4" s="1"/>
  <c r="L60" i="1"/>
  <c r="G26" i="4" s="1"/>
  <c r="G29" i="4" l="1"/>
  <c r="I15" i="4"/>
  <c r="I16" i="4" s="1"/>
  <c r="K15" i="4"/>
  <c r="K16" i="4" s="1"/>
  <c r="L15" i="4"/>
  <c r="L16" i="4" s="1"/>
  <c r="J29" i="4"/>
  <c r="N29" i="4"/>
  <c r="H15" i="4"/>
  <c r="H16" i="4" s="1"/>
  <c r="M29" i="4"/>
  <c r="G15" i="4"/>
  <c r="G16" i="4" s="1"/>
  <c r="O15" i="4"/>
  <c r="O16" i="4" s="1"/>
  <c r="O29" i="4"/>
  <c r="Q15" i="4"/>
  <c r="Q16" i="4" s="1"/>
  <c r="Q29" i="4"/>
  <c r="P15" i="4"/>
  <c r="P16" i="4" s="1"/>
  <c r="P29" i="4"/>
  <c r="M19" i="4"/>
  <c r="N19" i="4"/>
  <c r="L19" i="4"/>
  <c r="N27" i="4"/>
  <c r="I27" i="4"/>
  <c r="Q27" i="4"/>
  <c r="H27" i="4"/>
  <c r="P27" i="4"/>
  <c r="L27" i="4"/>
  <c r="M27" i="4"/>
  <c r="O27" i="4"/>
  <c r="G27" i="4"/>
  <c r="K27" i="4"/>
  <c r="J27" i="4"/>
  <c r="K42" i="1"/>
  <c r="K94" i="1" s="1"/>
  <c r="K60" i="1"/>
  <c r="F26" i="4" s="1"/>
  <c r="I29" i="4" l="1"/>
  <c r="K29" i="4"/>
  <c r="F64" i="4"/>
  <c r="F63" i="4"/>
  <c r="N15" i="4"/>
  <c r="N16" i="4" s="1"/>
  <c r="J15" i="4"/>
  <c r="J16" i="4" s="1"/>
  <c r="N18" i="4"/>
  <c r="N63" i="4" s="1"/>
  <c r="S88" i="1" s="1"/>
  <c r="L18" i="4"/>
  <c r="L62" i="4" s="1"/>
  <c r="M18" i="4"/>
  <c r="M63" i="4" s="1"/>
  <c r="R88" i="1" s="1"/>
  <c r="M15" i="4"/>
  <c r="M16" i="4" s="1"/>
  <c r="L29" i="4"/>
  <c r="H29" i="4"/>
  <c r="L23" i="4"/>
  <c r="K19" i="4"/>
  <c r="N23" i="4"/>
  <c r="J122" i="12"/>
  <c r="X122" i="12" s="1"/>
  <c r="X144" i="12"/>
  <c r="J150" i="12"/>
  <c r="I122" i="12"/>
  <c r="W122" i="12" s="1"/>
  <c r="W144" i="12"/>
  <c r="I150" i="12"/>
  <c r="J19" i="4"/>
  <c r="X166" i="12"/>
  <c r="J172" i="12"/>
  <c r="X172" i="12" s="1"/>
  <c r="K122" i="12"/>
  <c r="Y122" i="12" s="1"/>
  <c r="Y144" i="12"/>
  <c r="K150" i="12"/>
  <c r="H19" i="4"/>
  <c r="W166" i="12"/>
  <c r="I172" i="12"/>
  <c r="W172" i="12" s="1"/>
  <c r="Y166" i="12"/>
  <c r="K172" i="12"/>
  <c r="Y172" i="12" s="1"/>
  <c r="G19" i="4"/>
  <c r="M23" i="4"/>
  <c r="F28" i="4"/>
  <c r="F13" i="4" s="1"/>
  <c r="K88" i="1" l="1"/>
  <c r="D58" i="16" s="1"/>
  <c r="K89" i="1"/>
  <c r="D59" i="16" s="1"/>
  <c r="N64" i="4"/>
  <c r="S89" i="1" s="1"/>
  <c r="L61" i="4"/>
  <c r="Q86" i="1" s="1"/>
  <c r="L63" i="4"/>
  <c r="M64" i="4"/>
  <c r="R89" i="1" s="1"/>
  <c r="N62" i="4"/>
  <c r="L64" i="4"/>
  <c r="N61" i="4"/>
  <c r="H18" i="4"/>
  <c r="H64" i="4" s="1"/>
  <c r="J18" i="4"/>
  <c r="J64" i="4" s="1"/>
  <c r="G18" i="4"/>
  <c r="G63" i="4" s="1"/>
  <c r="L88" i="1" s="1"/>
  <c r="K18" i="4"/>
  <c r="K61" i="4" s="1"/>
  <c r="P86" i="1" s="1"/>
  <c r="M62" i="4"/>
  <c r="M61" i="4"/>
  <c r="R86" i="1" s="1"/>
  <c r="F29" i="4"/>
  <c r="K58" i="16"/>
  <c r="M7" i="4"/>
  <c r="M9" i="4" s="1"/>
  <c r="M10" i="4" s="1"/>
  <c r="R78" i="1" s="1"/>
  <c r="G23" i="4"/>
  <c r="J23" i="4"/>
  <c r="J7" i="4"/>
  <c r="J9" i="4" s="1"/>
  <c r="J10" i="4" s="1"/>
  <c r="O78" i="1" s="1"/>
  <c r="I19" i="4"/>
  <c r="N7" i="4"/>
  <c r="N9" i="4" s="1"/>
  <c r="N10" i="4" s="1"/>
  <c r="S78" i="1" s="1"/>
  <c r="V166" i="12"/>
  <c r="H172" i="12"/>
  <c r="V172" i="12" s="1"/>
  <c r="E122" i="12"/>
  <c r="S122" i="12" s="1"/>
  <c r="S144" i="12"/>
  <c r="E150" i="12"/>
  <c r="K128" i="12"/>
  <c r="Y128" i="12" s="1"/>
  <c r="Y150" i="12"/>
  <c r="I128" i="12"/>
  <c r="W128" i="12" s="1"/>
  <c r="W150" i="12"/>
  <c r="J128" i="12"/>
  <c r="X128" i="12" s="1"/>
  <c r="X150" i="12"/>
  <c r="Q19" i="4"/>
  <c r="K23" i="4"/>
  <c r="D122" i="12"/>
  <c r="R122" i="12" s="1"/>
  <c r="R144" i="12"/>
  <c r="D150" i="12"/>
  <c r="S166" i="12"/>
  <c r="E172" i="12"/>
  <c r="S172" i="12" s="1"/>
  <c r="G122" i="12"/>
  <c r="U122" i="12" s="1"/>
  <c r="U144" i="12"/>
  <c r="G150" i="12"/>
  <c r="O19" i="4"/>
  <c r="R166" i="12"/>
  <c r="D172" i="12"/>
  <c r="R172" i="12" s="1"/>
  <c r="H23" i="4"/>
  <c r="U166" i="12"/>
  <c r="G172" i="12"/>
  <c r="U172" i="12" s="1"/>
  <c r="P19" i="4"/>
  <c r="H122" i="12"/>
  <c r="V122" i="12" s="1"/>
  <c r="V144" i="12"/>
  <c r="H150" i="12"/>
  <c r="Q150" i="12"/>
  <c r="R87" i="1" l="1"/>
  <c r="S87" i="1"/>
  <c r="Q88" i="1"/>
  <c r="J58" i="16" s="1"/>
  <c r="S86" i="1"/>
  <c r="L56" i="16" s="1"/>
  <c r="Q89" i="1"/>
  <c r="Q87" i="1"/>
  <c r="J62" i="4"/>
  <c r="J61" i="4"/>
  <c r="O86" i="1" s="1"/>
  <c r="H56" i="16" s="1"/>
  <c r="H7" i="4"/>
  <c r="H9" i="4" s="1"/>
  <c r="H10" i="4" s="1"/>
  <c r="M78" i="1" s="1"/>
  <c r="H61" i="4"/>
  <c r="L58" i="16"/>
  <c r="J56" i="16"/>
  <c r="K59" i="16"/>
  <c r="K7" i="4"/>
  <c r="K9" i="4" s="1"/>
  <c r="K10" i="4" s="1"/>
  <c r="P78" i="1" s="1"/>
  <c r="K62" i="4"/>
  <c r="P87" i="1" s="1"/>
  <c r="G64" i="4"/>
  <c r="L89" i="1" s="1"/>
  <c r="J63" i="4"/>
  <c r="O88" i="1" s="1"/>
  <c r="H62" i="4"/>
  <c r="H63" i="4"/>
  <c r="M88" i="1" s="1"/>
  <c r="K63" i="4"/>
  <c r="P88" i="1" s="1"/>
  <c r="M68" i="4"/>
  <c r="I18" i="4"/>
  <c r="I64" i="4" s="1"/>
  <c r="M67" i="4"/>
  <c r="G62" i="4"/>
  <c r="G7" i="4"/>
  <c r="G9" i="4" s="1"/>
  <c r="G10" i="4" s="1"/>
  <c r="L78" i="1" s="1"/>
  <c r="K64" i="4"/>
  <c r="G61" i="4"/>
  <c r="N68" i="4"/>
  <c r="K56" i="16"/>
  <c r="F15" i="4"/>
  <c r="F16" i="4" s="1"/>
  <c r="F61" i="4" s="1"/>
  <c r="M66" i="4"/>
  <c r="Q18" i="4"/>
  <c r="Q63" i="4" s="1"/>
  <c r="V88" i="1" s="1"/>
  <c r="P18" i="4"/>
  <c r="P63" i="4" s="1"/>
  <c r="U88" i="1" s="1"/>
  <c r="O18" i="4"/>
  <c r="O62" i="4" s="1"/>
  <c r="L7" i="4"/>
  <c r="L9" i="4" s="1"/>
  <c r="L10" i="4" s="1"/>
  <c r="Q78" i="1" s="1"/>
  <c r="E58" i="16"/>
  <c r="I56" i="16"/>
  <c r="AA166" i="12"/>
  <c r="M172" i="12"/>
  <c r="AA172" i="12" s="1"/>
  <c r="Z166" i="12"/>
  <c r="L172" i="12"/>
  <c r="Z172" i="12" s="1"/>
  <c r="Q23" i="4"/>
  <c r="I23" i="4"/>
  <c r="H128" i="12"/>
  <c r="V128" i="12" s="1"/>
  <c r="V150" i="12"/>
  <c r="M122" i="12"/>
  <c r="AA122" i="12" s="1"/>
  <c r="AA144" i="12"/>
  <c r="M150" i="12"/>
  <c r="O23" i="4"/>
  <c r="P23" i="4"/>
  <c r="G128" i="12"/>
  <c r="U128" i="12" s="1"/>
  <c r="U150" i="12"/>
  <c r="N122" i="12"/>
  <c r="AB122" i="12" s="1"/>
  <c r="AB144" i="12"/>
  <c r="N150" i="12"/>
  <c r="F122" i="12"/>
  <c r="T122" i="12" s="1"/>
  <c r="T144" i="12"/>
  <c r="F150" i="12"/>
  <c r="L122" i="12"/>
  <c r="Z122" i="12" s="1"/>
  <c r="Z144" i="12"/>
  <c r="L150" i="12"/>
  <c r="D128" i="12"/>
  <c r="R128" i="12" s="1"/>
  <c r="R150" i="12"/>
  <c r="AB166" i="12"/>
  <c r="N172" i="12"/>
  <c r="AB172" i="12" s="1"/>
  <c r="E128" i="12"/>
  <c r="S128" i="12" s="1"/>
  <c r="S150" i="12"/>
  <c r="T166" i="12"/>
  <c r="F172" i="12"/>
  <c r="T172" i="12" s="1"/>
  <c r="F27" i="4"/>
  <c r="J59" i="16" l="1"/>
  <c r="L57" i="16"/>
  <c r="P89" i="1"/>
  <c r="O87" i="1"/>
  <c r="K86" i="1"/>
  <c r="D56" i="16" s="1"/>
  <c r="J68" i="4"/>
  <c r="O89" i="1"/>
  <c r="H59" i="16" s="1"/>
  <c r="R90" i="1"/>
  <c r="K60" i="16" s="1"/>
  <c r="R91" i="1"/>
  <c r="M87" i="1"/>
  <c r="F57" i="16" s="1"/>
  <c r="M86" i="1"/>
  <c r="F56" i="16" s="1"/>
  <c r="M89" i="1"/>
  <c r="L87" i="1"/>
  <c r="E57" i="16" s="1"/>
  <c r="L86" i="1"/>
  <c r="E56" i="16" s="1"/>
  <c r="H67" i="4"/>
  <c r="H66" i="4"/>
  <c r="O7" i="4"/>
  <c r="O9" i="4" s="1"/>
  <c r="O10" i="4" s="1"/>
  <c r="T78" i="1" s="1"/>
  <c r="I7" i="4"/>
  <c r="I9" i="4" s="1"/>
  <c r="I10" i="4" s="1"/>
  <c r="N78" i="1" s="1"/>
  <c r="H58" i="16"/>
  <c r="I57" i="16"/>
  <c r="L59" i="16"/>
  <c r="H57" i="16"/>
  <c r="J57" i="16"/>
  <c r="K57" i="16"/>
  <c r="E59" i="16"/>
  <c r="F62" i="4"/>
  <c r="K68" i="4"/>
  <c r="I62" i="4"/>
  <c r="I61" i="4"/>
  <c r="N86" i="1" s="1"/>
  <c r="G56" i="16" s="1"/>
  <c r="H68" i="4"/>
  <c r="L68" i="4"/>
  <c r="J66" i="4"/>
  <c r="J67" i="4"/>
  <c r="O63" i="4"/>
  <c r="N67" i="4"/>
  <c r="N66" i="4"/>
  <c r="Q61" i="4"/>
  <c r="K67" i="4"/>
  <c r="K66" i="4"/>
  <c r="P90" i="1" s="1"/>
  <c r="G66" i="4"/>
  <c r="G68" i="4"/>
  <c r="I63" i="4"/>
  <c r="N88" i="1" s="1"/>
  <c r="Q62" i="4"/>
  <c r="Q7" i="4"/>
  <c r="Q9" i="4" s="1"/>
  <c r="Q10" i="4" s="1"/>
  <c r="V78" i="1" s="1"/>
  <c r="P7" i="4"/>
  <c r="P9" i="4" s="1"/>
  <c r="P10" i="4" s="1"/>
  <c r="U78" i="1" s="1"/>
  <c r="P64" i="4"/>
  <c r="U89" i="1" s="1"/>
  <c r="P61" i="4"/>
  <c r="F66" i="4"/>
  <c r="F68" i="4"/>
  <c r="Q64" i="4"/>
  <c r="V89" i="1" s="1"/>
  <c r="P62" i="4"/>
  <c r="O61" i="4"/>
  <c r="T86" i="1" s="1"/>
  <c r="O64" i="4"/>
  <c r="O58" i="16"/>
  <c r="N128" i="12"/>
  <c r="AB128" i="12" s="1"/>
  <c r="AB150" i="12"/>
  <c r="F128" i="12"/>
  <c r="T128" i="12" s="1"/>
  <c r="T150" i="12"/>
  <c r="L128" i="12"/>
  <c r="Z128" i="12" s="1"/>
  <c r="Z150" i="12"/>
  <c r="N58" i="16"/>
  <c r="M128" i="12"/>
  <c r="AA128" i="12" s="1"/>
  <c r="AA150" i="12"/>
  <c r="N87" i="1" l="1"/>
  <c r="G57" i="16" s="1"/>
  <c r="T89" i="1"/>
  <c r="U87" i="1"/>
  <c r="V87" i="1"/>
  <c r="U86" i="1"/>
  <c r="N56" i="16" s="1"/>
  <c r="P91" i="1"/>
  <c r="V86" i="1"/>
  <c r="O56" i="16" s="1"/>
  <c r="N89" i="1"/>
  <c r="T88" i="1"/>
  <c r="M58" i="16" s="1"/>
  <c r="K87" i="1"/>
  <c r="D57" i="16" s="1"/>
  <c r="T87" i="1"/>
  <c r="S91" i="1"/>
  <c r="S90" i="1"/>
  <c r="L60" i="16" s="1"/>
  <c r="O91" i="1"/>
  <c r="H61" i="16" s="1"/>
  <c r="O90" i="1"/>
  <c r="H60" i="16" s="1"/>
  <c r="K90" i="1"/>
  <c r="D60" i="16" s="1"/>
  <c r="M91" i="1"/>
  <c r="F61" i="16" s="1"/>
  <c r="M90" i="1"/>
  <c r="F60" i="16" s="1"/>
  <c r="L90" i="1"/>
  <c r="E60" i="16" s="1"/>
  <c r="O68" i="4"/>
  <c r="F67" i="4"/>
  <c r="I68" i="4"/>
  <c r="F58" i="16"/>
  <c r="F59" i="16" s="1"/>
  <c r="R97" i="1"/>
  <c r="K61" i="16"/>
  <c r="I67" i="4"/>
  <c r="I59" i="16"/>
  <c r="I58" i="16"/>
  <c r="N59" i="16"/>
  <c r="O59" i="16"/>
  <c r="I60" i="16"/>
  <c r="L66" i="4"/>
  <c r="L67" i="4"/>
  <c r="I66" i="4"/>
  <c r="N90" i="1" s="1"/>
  <c r="P68" i="4"/>
  <c r="G67" i="4"/>
  <c r="L91" i="1" s="1"/>
  <c r="P66" i="4"/>
  <c r="Q68" i="4"/>
  <c r="Q67" i="4"/>
  <c r="Q66" i="4"/>
  <c r="O66" i="4"/>
  <c r="O67" i="4"/>
  <c r="H70" i="4"/>
  <c r="H74" i="4" s="1"/>
  <c r="K70" i="4"/>
  <c r="K73" i="4" s="1"/>
  <c r="M59" i="16" l="1"/>
  <c r="N57" i="16"/>
  <c r="O57" i="16"/>
  <c r="T91" i="1"/>
  <c r="N91" i="1"/>
  <c r="V91" i="1"/>
  <c r="U90" i="1"/>
  <c r="N60" i="16" s="1"/>
  <c r="V90" i="1"/>
  <c r="O60" i="16" s="1"/>
  <c r="T90" i="1"/>
  <c r="M60" i="16" s="1"/>
  <c r="Q91" i="1"/>
  <c r="F70" i="4"/>
  <c r="F73" i="4" s="1"/>
  <c r="K91" i="1"/>
  <c r="D61" i="16" s="1"/>
  <c r="Q90" i="1"/>
  <c r="J60" i="16" s="1"/>
  <c r="M97" i="1"/>
  <c r="M98" i="1" s="1"/>
  <c r="O97" i="1"/>
  <c r="O98" i="1" s="1"/>
  <c r="P97" i="1"/>
  <c r="P98" i="1" s="1"/>
  <c r="G60" i="16"/>
  <c r="S97" i="1"/>
  <c r="L61" i="16"/>
  <c r="M56" i="16"/>
  <c r="G59" i="16"/>
  <c r="G58" i="16"/>
  <c r="L70" i="4"/>
  <c r="L73" i="4" s="1"/>
  <c r="G70" i="4"/>
  <c r="G73" i="4" s="1"/>
  <c r="P67" i="4"/>
  <c r="U91" i="1" s="1"/>
  <c r="N70" i="4"/>
  <c r="N74" i="4" s="1"/>
  <c r="M70" i="4"/>
  <c r="M74" i="4" s="1"/>
  <c r="J70" i="4"/>
  <c r="J73" i="4" s="1"/>
  <c r="H73" i="4"/>
  <c r="K74" i="4"/>
  <c r="Q70" i="4"/>
  <c r="O70" i="4"/>
  <c r="I70" i="4"/>
  <c r="I74" i="4" s="1"/>
  <c r="F74" i="4" l="1"/>
  <c r="K97" i="1"/>
  <c r="K98" i="1" s="1"/>
  <c r="I61" i="16"/>
  <c r="Q97" i="1"/>
  <c r="Q98" i="1" s="1"/>
  <c r="J61" i="16"/>
  <c r="L74" i="4"/>
  <c r="M57" i="16"/>
  <c r="V97" i="1"/>
  <c r="O61" i="16"/>
  <c r="T97" i="1"/>
  <c r="M61" i="16"/>
  <c r="L97" i="1"/>
  <c r="L98" i="1" s="1"/>
  <c r="E61" i="16"/>
  <c r="N97" i="1"/>
  <c r="N98" i="1" s="1"/>
  <c r="G61" i="16"/>
  <c r="G74" i="4"/>
  <c r="P70" i="4"/>
  <c r="P74" i="4" s="1"/>
  <c r="N73" i="4"/>
  <c r="J74" i="4"/>
  <c r="S98" i="1"/>
  <c r="R98" i="1"/>
  <c r="M73" i="4"/>
  <c r="I73" i="4"/>
  <c r="Q73" i="4"/>
  <c r="Q74" i="4"/>
  <c r="O74" i="4"/>
  <c r="O73" i="4"/>
  <c r="U97" i="1" l="1"/>
  <c r="U98" i="1" s="1"/>
  <c r="N61" i="16"/>
  <c r="P73" i="4"/>
  <c r="V98" i="1"/>
  <c r="T98" i="1"/>
</calcChain>
</file>

<file path=xl/comments1.xml><?xml version="1.0" encoding="utf-8"?>
<comments xmlns="http://schemas.openxmlformats.org/spreadsheetml/2006/main">
  <authors>
    <author>Nico</author>
  </authors>
  <commentList>
    <comment ref="G11" authorId="0">
      <text>
        <r>
          <rPr>
            <sz val="9"/>
            <color indexed="81"/>
            <rFont val="Tahoma"/>
            <family val="2"/>
          </rPr>
          <t xml:space="preserve">kentallen per bron. 
</t>
        </r>
        <r>
          <rPr>
            <b/>
            <sz val="9"/>
            <color indexed="48"/>
            <rFont val="Tahoma"/>
            <family val="2"/>
          </rPr>
          <t>Blauw gekleurde waarden zijn default-waarden</t>
        </r>
        <r>
          <rPr>
            <sz val="9"/>
            <color indexed="81"/>
            <rFont val="Tahoma"/>
            <family val="2"/>
          </rPr>
          <t xml:space="preserve">
</t>
        </r>
        <r>
          <rPr>
            <b/>
            <sz val="9"/>
            <color indexed="10"/>
            <rFont val="Tahoma"/>
            <family val="2"/>
          </rPr>
          <t>Rood gekleurde waarden zijn door de gebruiker aangepaste kentallen</t>
        </r>
        <r>
          <rPr>
            <sz val="9"/>
            <color indexed="81"/>
            <rFont val="Tahoma"/>
            <family val="2"/>
          </rPr>
          <t xml:space="preserve">
 Zie tabblad "kentallen" voor toelichting op de waarden en voor aanpassing van de kentallen
</t>
        </r>
      </text>
    </comment>
    <comment ref="F12" authorId="0">
      <text>
        <r>
          <rPr>
            <sz val="9"/>
            <color indexed="81"/>
            <rFont val="Tahoma"/>
            <family val="2"/>
          </rPr>
          <t xml:space="preserve">Geef hier het volume op in kubieke meter (m3) van een overstort met een frequentie van 1 x per jaar (T=1, maximale jaarlijks terugkerende overstort). 
</t>
        </r>
        <r>
          <rPr>
            <b/>
            <sz val="9"/>
            <color indexed="81"/>
            <rFont val="Tahoma"/>
            <family val="2"/>
          </rPr>
          <t xml:space="preserve">
overstorthoeveelheid bekend / kwaliteit overstortwater onbekend</t>
        </r>
        <r>
          <rPr>
            <sz val="9"/>
            <color indexed="81"/>
            <rFont val="Tahoma"/>
            <family val="2"/>
          </rPr>
          <t xml:space="preserve">
De overstort wordt omgerekend naar een BZV- en NH4-N-belasting op dagbasis in gram/dag, die is gebaseerd op:
- het overstortvolume in m3;
- het BZV-gehalte en het NH4-N gehalte van het overstortwater, zie tabblad "kentallen";
- verdeling van de zuurstofvraag over 5 dagen en omrekening naar gO2 per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een schatting worden gemaakt door uit te gaan van het aantal hectare bebouwd gebied dat aan een overstort is gekoppeld. Het overstortvolume wordt berekend door uit te gaan van een "gemiddelde" T=1 overstortvolume voor een gemegd stelsel van 84 m3/ha (RIONED, 2009) en dit te vermenigvuldigen met het aantal hectare.
</t>
        </r>
        <r>
          <rPr>
            <b/>
            <sz val="9"/>
            <color indexed="81"/>
            <rFont val="Tahoma"/>
            <family val="2"/>
          </rPr>
          <t>Alternatieve invoer</t>
        </r>
        <r>
          <rPr>
            <sz val="9"/>
            <color indexed="81"/>
            <rFont val="Tahoma"/>
            <family val="2"/>
          </rPr>
          <t xml:space="preserve">
Alternatief is om het als "overige bron" op te nemen. </t>
        </r>
        <r>
          <rPr>
            <u/>
            <sz val="9"/>
            <color indexed="81"/>
            <rFont val="Tahoma"/>
            <family val="2"/>
          </rPr>
          <t>Let dan op!!</t>
        </r>
        <r>
          <rPr>
            <sz val="9"/>
            <color indexed="81"/>
            <rFont val="Tahoma"/>
            <family val="2"/>
          </rPr>
          <t xml:space="preserve"> totale BVZ en NH4-N vracht moet worden gedeeld door 5 dagen omdat dit een éénmalige belasting is (met herhalingstijd van 1 jaar), waarvan de (grootste) zuurstofvraag van het organisch materiaal over een periode van 5 dagen tot uiting komt, in tegenstelling tot de overige bronnen die een continue (dagelijkse) belasting vormen... </t>
        </r>
      </text>
    </comment>
    <comment ref="G12"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H12"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F13" authorId="0">
      <text>
        <r>
          <rPr>
            <sz val="9"/>
            <color indexed="81"/>
            <rFont val="Tahoma"/>
            <family val="2"/>
          </rPr>
          <t xml:space="preserve">Geef hier het volume op in kubieke meter (m3) van het totale jaarlijkse overstortvolume. 
</t>
        </r>
        <r>
          <rPr>
            <b/>
            <sz val="9"/>
            <color indexed="81"/>
            <rFont val="Tahoma"/>
            <family val="2"/>
          </rPr>
          <t xml:space="preserve">
overstorthoeveelheid bekend / kwaliteit overstortwater onbekend</t>
        </r>
        <r>
          <rPr>
            <sz val="9"/>
            <color indexed="81"/>
            <rFont val="Tahoma"/>
            <family val="2"/>
          </rPr>
          <t xml:space="preserve">
De overstort wordt omgerekend naar een sedimentzuurstofverbruik (SZV) op dagbasis in gram O2/dag, die is gebaseerd op:
- het total jaarlijkse overstortvolume in m3;
- de grove BZV-fractie van het overstortwater, zie tabblad "kentallen";
- verdeling van de zuurstofvraag over het gehele jaar dmv een omrekening naar de zuurstofvraag in gO2 per jaarlijks overgestorte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een schatting worden gemaakt door uit te gaan van het aantal hectare bebouwd gebied dat aan een overstort is gekoppeld. Het overstortvolume wordt berekend door uit te gaan van een "gemiddelde" jaarlijkse overstortvolume voor een gemengd stelsel van 305 m3/ha (RIONED, 2009) en dit te vermenigvuldigen met het aantal hectare.
</t>
        </r>
        <r>
          <rPr>
            <b/>
            <sz val="9"/>
            <color indexed="81"/>
            <rFont val="Tahoma"/>
            <family val="2"/>
          </rPr>
          <t>Alternatieve invoer</t>
        </r>
        <r>
          <rPr>
            <sz val="9"/>
            <color indexed="81"/>
            <rFont val="Tahoma"/>
            <family val="2"/>
          </rPr>
          <t xml:space="preserve">
Alternatief is om het als "overige bron" op te nemen. </t>
        </r>
        <r>
          <rPr>
            <u/>
            <sz val="9"/>
            <color indexed="81"/>
            <rFont val="Tahoma"/>
            <family val="2"/>
          </rPr>
          <t>Let dan op!!</t>
        </r>
        <r>
          <rPr>
            <sz val="9"/>
            <color indexed="81"/>
            <rFont val="Tahoma"/>
            <family val="2"/>
          </rPr>
          <t xml:space="preserve"> totale jaarvracht (van de grove BZV-fractie) moet dan worden gedeeld door 365 dagen, alsof het een continue (dagelijkse) belasting betreft... </t>
        </r>
      </text>
    </comment>
    <comment ref="I13"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F14" authorId="0">
      <text>
        <r>
          <rPr>
            <sz val="9"/>
            <color indexed="81"/>
            <rFont val="Tahoma"/>
            <family val="2"/>
          </rPr>
          <t xml:space="preserve">Geef hier het volume op in kubieke meter (m3) van een overstort van een gemengd stelsel </t>
        </r>
        <r>
          <rPr>
            <u/>
            <sz val="9"/>
            <color indexed="81"/>
            <rFont val="Tahoma"/>
            <family val="2"/>
          </rPr>
          <t>met bergbezinkbasin</t>
        </r>
        <r>
          <rPr>
            <sz val="9"/>
            <color indexed="81"/>
            <rFont val="Tahoma"/>
            <family val="2"/>
          </rPr>
          <t xml:space="preserve"> met een frequentie van 1 x per jaar (T=1, maximale jaarlijks terugkerende overstort). 
</t>
        </r>
        <r>
          <rPr>
            <b/>
            <sz val="9"/>
            <color indexed="81"/>
            <rFont val="Tahoma"/>
            <family val="2"/>
          </rPr>
          <t xml:space="preserve">
overstorthoeveelheid bekend / kwaliteit overstortwater onbekend</t>
        </r>
        <r>
          <rPr>
            <sz val="9"/>
            <color indexed="81"/>
            <rFont val="Tahoma"/>
            <family val="2"/>
          </rPr>
          <t xml:space="preserve">
De overstort wordt omgerekend naar een BZV- en NH4-N-belasting op dagbasis in gram/dag, die is gebaseerd op:
- het overstortvolume in m3;
- het BZV-gehalte en het NH4-N gehalte van het overstortwater, zie tabblad "kentallen";
- verdeling van de zuurstofvraag over 5 dagen en omrekening naar gO2 per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een schatting worden gemaakt door uit te gaan van het aantal hectare bebouwd gebied dat aan een overstort is gekoppeld. Het overstortvolume wordt berekend door uit te gaan van een "gemiddelde" T=1 overstortvolume van 84 m3/ha (RIONED, 2009) en dit te vermenigvuldigen met het aantal hectare.
</t>
        </r>
        <r>
          <rPr>
            <b/>
            <sz val="9"/>
            <color indexed="81"/>
            <rFont val="Tahoma"/>
            <family val="2"/>
          </rPr>
          <t>Alternatieve invoer</t>
        </r>
        <r>
          <rPr>
            <sz val="9"/>
            <color indexed="81"/>
            <rFont val="Tahoma"/>
            <family val="2"/>
          </rPr>
          <t xml:space="preserve">
Alternatief is om het als "overige bron" op te nemen. Let dan op!! totale BVZ en NH4-N vracht moet worden gedeeld door 5 dagen omdat dit een éénmalige belasting is (met herhalingstijd van 1 jaar), waarvan de (grootste) zuurstofvraag van het organisch materiaal over een periode van 5 dagen tot uiting komt, in tegenstelling tot de overige bronnen die een continue (dagelijkse) belasting vormen... </t>
        </r>
      </text>
    </comment>
    <comment ref="G14"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H14"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F15" authorId="0">
      <text>
        <r>
          <rPr>
            <sz val="9"/>
            <color indexed="81"/>
            <rFont val="Tahoma"/>
            <family val="2"/>
          </rPr>
          <t xml:space="preserve">Geef hier het volume op in kubieke meter (m3) van het totale jaarlijkse overstortvolume van een gemengd stelsel </t>
        </r>
        <r>
          <rPr>
            <u/>
            <sz val="9"/>
            <color indexed="81"/>
            <rFont val="Tahoma"/>
            <family val="2"/>
          </rPr>
          <t>met bergbezinkbasin</t>
        </r>
        <r>
          <rPr>
            <sz val="9"/>
            <color indexed="81"/>
            <rFont val="Tahoma"/>
            <family val="2"/>
          </rPr>
          <t xml:space="preserve">.
</t>
        </r>
        <r>
          <rPr>
            <b/>
            <sz val="9"/>
            <color indexed="81"/>
            <rFont val="Tahoma"/>
            <family val="2"/>
          </rPr>
          <t xml:space="preserve">
overstorthoeveelheid bekend / kwaliteit overstortwater onbekend</t>
        </r>
        <r>
          <rPr>
            <sz val="9"/>
            <color indexed="81"/>
            <rFont val="Tahoma"/>
            <family val="2"/>
          </rPr>
          <t xml:space="preserve">
De overstort wordt omgerekend naar een sedimentzuurstofverbruik (SZV) op dagbasis in gram O2/dag, die is gebaseerd op:
- het total jaarlijkse overstortvolume in m3;
- de grove BZV-fractie van het overstortwater, zie tabblad "kentallen";
- verdeling van de zuurstofvraag over het gehele jaar dmv een omrekening naar de zuurstofvraag in gO2 per jaarlijks overgestorte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een schatting worden gemaakt door uit te gaan van het aantal hectare bebouwd gebied dat aan een overstort is gekoppeld. Het overstortvolume wordt berekend door uit te gaan van een "gemiddelde" jaarlijkse overstortvolume van 305 m3/ha (RIONED, 2009) en dit te vermenigvuldigen met het aantal hectare.
</t>
        </r>
        <r>
          <rPr>
            <b/>
            <sz val="9"/>
            <color indexed="81"/>
            <rFont val="Tahoma"/>
            <family val="2"/>
          </rPr>
          <t>Alternatieve invoer</t>
        </r>
        <r>
          <rPr>
            <sz val="9"/>
            <color indexed="81"/>
            <rFont val="Tahoma"/>
            <family val="2"/>
          </rPr>
          <t xml:space="preserve">
Alternatief is om het als "overige bron" op te nemen. </t>
        </r>
        <r>
          <rPr>
            <u/>
            <sz val="9"/>
            <color indexed="81"/>
            <rFont val="Tahoma"/>
            <family val="2"/>
          </rPr>
          <t>Let dan op!!</t>
        </r>
        <r>
          <rPr>
            <sz val="9"/>
            <color indexed="81"/>
            <rFont val="Tahoma"/>
            <family val="2"/>
          </rPr>
          <t xml:space="preserve"> totale jaarvracht (de grove BZV-fractie) moet dan worden gedeeld door 365 dagen, alsof het een continue (dagelijkse) belasting betreft... </t>
        </r>
      </text>
    </comment>
    <comment ref="I15"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F16" authorId="0">
      <text>
        <r>
          <rPr>
            <sz val="9"/>
            <color indexed="81"/>
            <rFont val="Tahoma"/>
            <family val="2"/>
          </rPr>
          <t xml:space="preserve">Geef hier het volume op in kubieke meter (m3) van een DWA-nooduitlaat met een frequentie van 1 x per jaar (T=1, maximale jaarlijks terugkerende nooduitlaat). 
</t>
        </r>
        <r>
          <rPr>
            <b/>
            <sz val="9"/>
            <color indexed="81"/>
            <rFont val="Tahoma"/>
            <family val="2"/>
          </rPr>
          <t xml:space="preserve">
overstorthoeveelheid bekend / kwaliteit overstortwater onbekend</t>
        </r>
        <r>
          <rPr>
            <sz val="9"/>
            <color indexed="81"/>
            <rFont val="Tahoma"/>
            <family val="2"/>
          </rPr>
          <t xml:space="preserve">
De overstort wordt omgerekend naar een BZV- en NH4-N-belasting op dagbasis in gram/dag, die is gebaseerd op:
- het overstortvolume in m3;
- het BZV-gehalte en het NH4-N gehalte van het overstortwater, zie tabblad "kentallen";
- verdeling van de zuurstofvraag over 5 dagen en omrekening naar gO2 per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mogelijk een schatting worden gemaakt door uit te gaan van het aantal hectare bebouwd gebied dat aan een overstort is gekoppeld. Het overstortvolume wordt berekend door uit te gaan van een "gemiddelde" T=1 overstortvolume en dit te vermenigvuldigen met het aantal hectare.
</t>
        </r>
        <r>
          <rPr>
            <b/>
            <sz val="9"/>
            <color indexed="81"/>
            <rFont val="Tahoma"/>
            <family val="2"/>
          </rPr>
          <t>Alternatieve invoer</t>
        </r>
        <r>
          <rPr>
            <sz val="9"/>
            <color indexed="81"/>
            <rFont val="Tahoma"/>
            <family val="2"/>
          </rPr>
          <t xml:space="preserve">
Alternatief is om het als "overige bron" op te nemen. Let dan op!! totale BVZ en NH4-N vracht moet worden gedeeld door 5 dagen omdat dit een éénmalige belasting is (met herhalingstijd van 1 jaar), waarvan de (grootste) zuurstofvraag van het organisch materiaal over een periode van 5 dagen tot uiting komt, in tegenstelling tot de overige bronnen die een continue (dagelijkse) belasting vormen... </t>
        </r>
      </text>
    </comment>
    <comment ref="G16"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H16"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F17" authorId="0">
      <text>
        <r>
          <rPr>
            <sz val="9"/>
            <color indexed="81"/>
            <rFont val="Tahoma"/>
            <family val="2"/>
          </rPr>
          <t xml:space="preserve">Geef hier het volume op in kubieke meter (m3) van het totale jaarlijkse overstortvolume van een DWA-nooduitlaat.
</t>
        </r>
        <r>
          <rPr>
            <b/>
            <sz val="9"/>
            <color indexed="81"/>
            <rFont val="Tahoma"/>
            <family val="2"/>
          </rPr>
          <t xml:space="preserve">
overstorthoeveelheid bekend / kwaliteit overstortwater onbekend</t>
        </r>
        <r>
          <rPr>
            <sz val="9"/>
            <color indexed="81"/>
            <rFont val="Tahoma"/>
            <family val="2"/>
          </rPr>
          <t xml:space="preserve">
De overstort wordt omgerekend naar een sedimentzuurstofverbruik (SZV) op dagbasis in gram O2/dag, die is gebaseerd op:
- het total jaarlijkse overstortvolume in m3;
- de grove BZV-fractie van het overstortwater, zie tabblad "kentallen";
- verdeling van de zuurstofvraag over het gehele jaar dmv een omrekening naar de zuurstofvraag in gO2 per jaarlijks overgestorte m3 per dag.
</t>
        </r>
        <r>
          <rPr>
            <b/>
            <sz val="9"/>
            <color indexed="81"/>
            <rFont val="Tahoma"/>
            <family val="2"/>
          </rPr>
          <t>overstorthoeveelheid bekend</t>
        </r>
        <r>
          <rPr>
            <sz val="9"/>
            <color indexed="81"/>
            <rFont val="Tahoma"/>
            <family val="2"/>
          </rPr>
          <t xml:space="preserve"> / </t>
        </r>
        <r>
          <rPr>
            <b/>
            <sz val="9"/>
            <color indexed="81"/>
            <rFont val="Tahoma"/>
            <family val="2"/>
          </rPr>
          <t>kwaliteit overstortwater bekend</t>
        </r>
        <r>
          <rPr>
            <sz val="9"/>
            <color indexed="81"/>
            <rFont val="Tahoma"/>
            <family val="2"/>
          </rPr>
          <t xml:space="preserve">
Als de kwaliteit van het overstortwater bekend is en afwijkt van de defaultwaarde kan de waarde worden aangepast in het tabblad "kentallen". NB! dit aangepaste kental geldt dan meteen voor alle watersystemen in dit invulblad!!
Alternatief is om het als "overige bron" op te nemen (zie hieronder bij "Alternatieve invoer". 
</t>
        </r>
        <r>
          <rPr>
            <b/>
            <sz val="9"/>
            <color indexed="81"/>
            <rFont val="Tahoma"/>
            <family val="2"/>
          </rPr>
          <t>overstorthoeveelheid en -kwaliteit beide onbekend</t>
        </r>
        <r>
          <rPr>
            <sz val="9"/>
            <color indexed="81"/>
            <rFont val="Tahoma"/>
            <family val="2"/>
          </rPr>
          <t xml:space="preserve">
Als zowel de grootte als de kwaliteit van de maximale jaarlijkse overstort onbekend zijn, kan een schatting worden gemaakt door uit te gaan van het aantal hectare bebouwd gebied dat aan een overstort is gekoppeld. Het overstortvolume wordt berekend door uit te gaan van een "gemiddelde" jaarlijkse overstortvolume en dit te vermenigvuldigen met het aantal hectare.
</t>
        </r>
        <r>
          <rPr>
            <b/>
            <sz val="9"/>
            <color indexed="81"/>
            <rFont val="Tahoma"/>
            <family val="2"/>
          </rPr>
          <t>Alternatieve invoer</t>
        </r>
        <r>
          <rPr>
            <sz val="9"/>
            <color indexed="81"/>
            <rFont val="Tahoma"/>
            <family val="2"/>
          </rPr>
          <t xml:space="preserve">
Alternatief is om het als "overige bron" op te nemen. </t>
        </r>
        <r>
          <rPr>
            <u/>
            <sz val="9"/>
            <color indexed="81"/>
            <rFont val="Tahoma"/>
            <family val="2"/>
          </rPr>
          <t>Let dan op!!</t>
        </r>
        <r>
          <rPr>
            <sz val="9"/>
            <color indexed="81"/>
            <rFont val="Tahoma"/>
            <family val="2"/>
          </rPr>
          <t xml:space="preserve"> totale jaarvracht (de grove BZV-fractie) moet dan worden gedeeld door 365 dagen, alsof het een continue (dagelijkse) belasting betreft... </t>
        </r>
      </text>
    </comment>
    <comment ref="I17"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F20" authorId="0">
      <text>
        <r>
          <rPr>
            <sz val="9"/>
            <color indexed="81"/>
            <rFont val="Tahoma"/>
            <family val="2"/>
          </rPr>
          <t xml:space="preserve">geef hier het aantal m3 RWZI-effluent op. 
Gerekend wordt met defaultwaarden voor de fijne BZV-fractie, ammonium en de grove BZV fractie per m3. Deze waarden kunnen worden aangepast in  het tabblad "kentallen". NB! aangepaste kentallen gelden dan meteen voor alle watersystemen in dit invulblad!!
Alternatief is om het als "overige bron" op te nemen (zie hieronder bij "Alternatieve invoer". 
</t>
        </r>
      </text>
    </comment>
    <comment ref="F21" authorId="0">
      <text>
        <r>
          <rPr>
            <sz val="9"/>
            <color indexed="81"/>
            <rFont val="Tahoma"/>
            <family val="2"/>
          </rPr>
          <t xml:space="preserve">geef hier het aantal m3 hemelwaterafvoer per dag op. 
Gerekend wordt met defaultwaarden voor de fijne BZV-fractie, ammonium en de grove BZV fractie per m3. Deze waarden kunnen worden aangepast in  het tabblad "kentallen". NB! aangepaste kentallen gelden dan meteen voor alle watersystemen in dit invulblad!!
Alternatief is om het als "overige bron" op te nemen (zie hieronder bij "Alternatieve invoer". </t>
        </r>
      </text>
    </comment>
    <comment ref="F22" authorId="0">
      <text>
        <r>
          <rPr>
            <sz val="9"/>
            <color indexed="81"/>
            <rFont val="Tahoma"/>
            <family val="2"/>
          </rPr>
          <t xml:space="preserve">Geef hier het aantal septic tanks op. 
Op basis hiervan wordt gerekend wordt met kentallen van een "gemiddelde" septic tank. Deze zijn omgerekend naar een belasting op dagbasis die is gebaseerd op:
- meetwaarden van  BZV5, ammonium en CZV van het effluent per m3;
- een gemiddelde debiet per dag, o.b.v.:
- het dagelijkse effluentvolume van 4 personen (aanname: 0,5 m3/dag)
Als de effluentkwaliteit en debiet onbekend zijn, kan worden uitgegaan van een "gemiddelde" septic tank. 
Als de effluentkwaliteit wel bekend is, kan deze worden aangepast in  het tabblad "kentallen". NB! dit aangepaste kental geldt dan meteen voor alle watersystemen in dit invulblad!!
Wanneer (ook) het debiet afwijkt, wordt aanbevolen om het als "overige bron" op te nemen (zie hieronder bij "Alternatieve invoer"). 
</t>
        </r>
      </text>
    </comment>
    <comment ref="F23" authorId="0">
      <text>
        <r>
          <rPr>
            <sz val="9"/>
            <color indexed="81"/>
            <rFont val="Tahoma"/>
            <family val="2"/>
          </rPr>
          <t xml:space="preserve">Geef hier het aantal IBA's op. 
Op basis hiervan wordt gerekend wordt met kentallen van een "gemiddelde" IBA. Deze zijn omgerekend naar een belasting op dagbasis die is gebaseerd op:
- meetwaarden van  BZV5, ammonium en CZV van het effluent per m3;
- een gemiddelde debiet per dag, o.b.v.:
- het dagelijkse effluentvolume van 4 personen (aanname: 0,5 m3/dag)
Als de effluentkwaliteit en debiet onbekend zijn, kan worden uitgegaan van een "gemiddelde" IBA. 
Als de effluentkwaliteit wel bekend is, kan deze worden aangepast in  het tabblad "kentallen". NB! dit aangepaste kental geldt dan meteen voor alle watersystemen in dit invulblad!!
Wanneer (ook) het debiet afwijkt, wordt aanbevolen om het als "overige bron" op te nemen (zie hieronder bij "Alternatieve invoer"). </t>
        </r>
      </text>
    </comment>
    <comment ref="F24" authorId="0">
      <text>
        <r>
          <rPr>
            <sz val="9"/>
            <color indexed="81"/>
            <rFont val="Tahoma"/>
            <family val="2"/>
          </rPr>
          <t>vul hier het aantal vierkante meters boomkruin in, op de oever (binnen een straal van 10 meter van de watergang).
Wanneer er lagere vegetatie staat zoals struiken (=minder bladval) dan kan dit worden verdisconteert door een verlaging van het aantal vierkante meters.</t>
        </r>
      </text>
    </comment>
    <comment ref="F25" authorId="0">
      <text>
        <r>
          <rPr>
            <sz val="9"/>
            <color indexed="81"/>
            <rFont val="Tahoma"/>
            <family val="2"/>
          </rPr>
          <t>vul hier het aantal vierkante meters boomkruin in, op de oever (binnen een straal van 10 meter van de watergang).
Wanneer er lagere vegetatie staat zoals struiken (=minder bladval) dan kan dit worden verdisconteert door een verlaging van het aantal vierkante meters.</t>
        </r>
      </text>
    </comment>
    <comment ref="F26" authorId="0">
      <text>
        <r>
          <rPr>
            <sz val="9"/>
            <color indexed="81"/>
            <rFont val="Tahoma"/>
            <family val="2"/>
          </rPr>
          <t xml:space="preserve">Vul hier het aantal meters oeverlengte in, waar sprake is van belasting door honden. De belasting op het oppervlaktewater in ingedeeld in de volgende klassen:
• Klasse geen. 0 mg BZV/jaar;
• Klasse laag. 0-600 g BZV/100 meter oever/jaar (0-1,6 g BZV/100 meter oever/dag);
• Klasse midden. 900-2700 g BZV/100 meter oever/jaar (2,5-7,4 g BZV/100 m oever/dag);
• Klasse hoog. 3-6 kg BZV/100 m oever/jaar (8,2 - 16,4 g BZV/100 m oever/dag). 
NB!! Wanneer de vorm, lengte en breedte van het water zijn ingevoerd, wordt er een check uitgevoerd. Wanneer het opgegeven aantal meters oeverlengte groter is dan 2*(lengte+breedte) bij rechthoekige wateren of 2*Pi*(lengte+breedte)/2 in geval van een ronde of ellipsvormig water, dan kleurt de cel rood.
</t>
        </r>
      </text>
    </comment>
    <comment ref="F27" authorId="0">
      <text>
        <r>
          <rPr>
            <sz val="9"/>
            <color indexed="81"/>
            <rFont val="Tahoma"/>
            <family val="2"/>
          </rPr>
          <t xml:space="preserve">Vul hier het aantal meters oeverlengte in, waar sprake is van belasting door honden. De belasting op het oppervlaktewater in ingedeeld in de volgende klassen:
• Klasse geen. 0 mg BZV/jaar;
• Klasse laag. 0-600 g BZV/100 meter oever/jaar (0-1,6 g BZV/100 meter oever/dag);
• Klasse midden. 900-2700 g BZV/100 meter oever/jaar (2,5-7,4 g BZV/100 m oever/dag);
• Klasse hoog. 3-6 kg BZV/100 m oever/jaar (8,2 - 16,4 g BZV/100 m oever/dag). 
NB!! Wanneer de vorm, lengte en breedte van het water zijn ingevoerd, wordt er een check uitgevoerd. Wanneer het opgegeven aantal meters oeverlengte groter is dan 2*(lengte+breedte) bij rechthoekige wateren of 2*Pi*(lengte+breedte)/2 in geval van een ronde of ellipsvormig water, dan kleurt de cel rood.
</t>
        </r>
      </text>
    </comment>
    <comment ref="F28" authorId="0">
      <text>
        <r>
          <rPr>
            <sz val="9"/>
            <color indexed="81"/>
            <rFont val="Tahoma"/>
            <family val="2"/>
          </rPr>
          <t xml:space="preserve">Vul hier het aantal meters oeverlengte in, waar sprake is van belasting door honden. De belasting op het oppervlaktewater in ingedeeld in de volgende klassen:
• Klasse geen. 0 mg BZV/jaar;
• Klasse laag. 0-600 g BZV/100 meter oever/jaar (0-1,6 g BZV/100 meter oever/dag);
• Klasse midden. 900-2700 g BZV/100 meter oever/jaar (2,5-7,4 g BZV/100 m oever/dag);
• Klasse hoog. 3-6 kg BZV/100 m oever/jaar (8,2 - 16,4 g BZV/100 m oever/dag). 
NB!! Wanneer de vorm, lengte en breedte van het water zijn ingevoerd, wordt er een check uitgevoerd. Wanneer het opgegeven aantal meters oeverlengte groter is dan 2*(lengte+breedte) bij rechthoekige wateren of 2*Pi*(lengte+breedte)/2 in geval van een ronde of ellipsvormig water, dan kleurt de cel rood.
</t>
        </r>
      </text>
    </comment>
    <comment ref="F29" authorId="0">
      <text>
        <r>
          <rPr>
            <sz val="9"/>
            <color indexed="81"/>
            <rFont val="Tahoma"/>
            <family val="2"/>
          </rPr>
          <t xml:space="preserve">Net als bij honden wordt gewerkt met klasses, gebaseerd op;
- Het aantal watervogels dat voedsel uit een externe bron ontvangt (voeren, elders fourageren);
- De intensiteit waarmee wordt gevoerd (niet, laag, midden of hoog). Hier dient dan ook het elders fourageren in verdisconteerd te worden wanneer hier sprake van is. 
Voor een lage intensiteit van voeren wordt voorgesteld uit te gaan van 10 gram uitwerpselen per eend (overeenkomstig 10 gram BZV/dag/eend) en daarnaast 1 snee brood per dag per eend die in het watersysteem bezinkt (35 gram BZV/dag/eend). Daarmee is de totale belasting op het watersysteem 45 gram BZV/dag/eend. 
Voor een midden-intensiteit wordt voorgesteld uit te gaan van 30 gram uitwerpselen per eend en 4 sneetjes brood die in het watersysteem bezinken. Daarmee is de totale belasting op het watersysteem 170 gram BZV/dag/eend. 
Voor een hoge intensiteit wordt voorgesteld uit te gaan van 50 gram uitwerpsleen per eend en 10 sneetjes brood die in het watersysteem bezinken. Daarmee is de totale belasting op het watersysteem 380 gram BZV/dag/eend.
De totale belasting is verdeeld over de fijne BZV-fractie (snel afbreekbare deel) en de grove BZV-fractie (langzaam afbreekbare deel).
</t>
        </r>
      </text>
    </comment>
    <comment ref="F30" authorId="0">
      <text>
        <r>
          <rPr>
            <sz val="9"/>
            <color indexed="81"/>
            <rFont val="Tahoma"/>
            <family val="2"/>
          </rPr>
          <t xml:space="preserve">Net als bij honden wordt gewerkt met klasses, gebaseerd op;
- Het aantal watervogels dat voedsel uit een externe bron ontvangt (voeren, elders fourageren);
- De intensiteit waarmee wordt gevoerd (niet, laag, midden of hoog). Hier dient dan ook het elders fourageren in verdisconteerd te worden wanneer hier sprake van is. 
Voor een lage intensiteit van voeren wordt voorgesteld uit te gaan van 10 gram uitwerpselen per eend (overeenkomstig 10 gram BZV/dag/eend) en daarnaast 1 snee brood per dag per eend die in het watersysteem bezinkt (35 gram BZV/dag/eend). Daarmee is de totale belasting op het watersysteem 45 gram BZV/dag/eend. 
Voor een midden-intensiteit wordt voorgesteld uit te gaan van 30 gram uitwerpselen per eend en 4 sneetjes brood die in het watersysteem bezinken. Daarmee is de totale belasting op het watersysteem 170 gram BZV/dag/eend. 
Voor een hoge intensiteit wordt voorgesteld uit te gaan van 50 gram uitwerpsleen per eend en 10 sneetjes brood die in het watersysteem bezinken. Daarmee is de totale belasting op het watersysteem 380 gram BZV/dag/eend.
</t>
        </r>
      </text>
    </comment>
    <comment ref="F31" authorId="0">
      <text>
        <r>
          <rPr>
            <sz val="9"/>
            <color indexed="81"/>
            <rFont val="Tahoma"/>
            <family val="2"/>
          </rPr>
          <t xml:space="preserve">Net als bij honden wordt gewerkt met klasses, gebaseerd op;
- Het aantal watervogels dat voedsel uit een externe bron ontvangt (voeren, elders fourageren);
- De intensiteit waarmee wordt gevoerd (niet, laag, midden of hoog). Hier dient dan ook het elders fourageren in verdisconteerd te worden wanneer hier sprake van is. 
Voor een lage intensiteit van voeren wordt voorgesteld uit te gaan van 10 gram uitwerpselen per eend (overeenkomstig 10 gram BZV/dag/eend) en daarnaast 1 snee brood per dag per eend die in het watersysteem bezinkt (35 gram BZV/dag/eend). Daarmee is de totale belasting op het watersysteem 45 gram BZV/dag/eend. 
Voor een midden-intensiteit wordt voorgesteld uit te gaan van 30 gram uitwerpselen per eend en 4 sneetjes brood die in het watersysteem bezinken. Daarmee is de totale belasting op het watersysteem 170 gram BZV/dag/eend. 
Voor een hoge intensiteit wordt voorgesteld uit te gaan van 50 gram uitwerpsleen per eend en 10 sneetjes brood die in het watersysteem bezinken. Daarmee is de totale belasting op het watersysteem 380 gram BZV/dag/eend.
</t>
        </r>
      </text>
    </comment>
    <comment ref="F32" authorId="0">
      <text>
        <r>
          <rPr>
            <sz val="9"/>
            <color indexed="81"/>
            <rFont val="Tahoma"/>
            <family val="2"/>
          </rPr>
          <t>Om de benadering eenvoudig te houden wordt voorgesteld uit te gaan van het gemiddelde aantal vissers per dag (in te schatten door de gebruiker). Uiteraard zal het aantal vissers per dag variëren en daarmee ook de organische belasting. De belasting op het watersysteem is dan 1 kg BZV/visser/dag. 
Deze belasting wordt voor het overgrote deel (90%) toegerekend aan de grove BZV-fractie (langzaam afbreekbare deel).</t>
        </r>
      </text>
    </comment>
    <comment ref="E33" authorId="0">
      <text>
        <r>
          <rPr>
            <sz val="9"/>
            <color indexed="81"/>
            <rFont val="Tahoma"/>
            <family val="2"/>
          </rPr>
          <t xml:space="preserve">Geef hier het aantal m2 landbouwgrond op, dat grenst aan de betreffende watergang. Een eenvoudige manier om een inschatting te maken van deze bron is door gebruik te maken van het oppervlak van het watersysteem en het percentage open water in een polder. Dit is als volgt te zien:
</t>
        </r>
        <r>
          <rPr>
            <b/>
            <sz val="9"/>
            <color indexed="81"/>
            <rFont val="Tahoma"/>
            <family val="2"/>
          </rPr>
          <t xml:space="preserve">voorbeeld 1: </t>
        </r>
        <r>
          <rPr>
            <sz val="9"/>
            <color indexed="81"/>
            <rFont val="Tahoma"/>
            <family val="2"/>
          </rPr>
          <t xml:space="preserve">
voor een kleipolder met 2% open water en 100% agrarisch gebruik is het aantal m2 landbouwgrond is ongeveer 50* zo groot als het aantal m2 water
(% landbouwgrond) / (%water) = (100-2)/2 = 49
</t>
        </r>
        <r>
          <rPr>
            <b/>
            <sz val="9"/>
            <color indexed="81"/>
            <rFont val="Tahoma"/>
            <family val="2"/>
          </rPr>
          <t xml:space="preserve">
voorbeeld 2: </t>
        </r>
        <r>
          <rPr>
            <sz val="9"/>
            <color indexed="81"/>
            <rFont val="Tahoma"/>
            <family val="2"/>
          </rPr>
          <t xml:space="preserve">
voor een veenpolder met 20% open water en 100% agrarisch gebruik is het - aantal m2 landbouwgrond ongeveer 4 * zo groot als het aantal m2 wateroppervlak
(% landbouwgrond) / (%water) = (100-20)/20 = 4</t>
        </r>
      </text>
    </comment>
    <comment ref="F33" authorId="0">
      <text>
        <r>
          <rPr>
            <sz val="9"/>
            <color indexed="81"/>
            <rFont val="Tahoma"/>
            <family val="2"/>
          </rPr>
          <t xml:space="preserve">Om de tool werkbaar te houden wordt uitgegaan van een classificering van de bijdrage van mest. De indeling is dan een aaname van de gebruiker, waarbij rekening kan worden gehouden met de hierboven genoemde factoren. De klasses zijn afgeleid uit [ref. 10]: 2% voor een lage mestuitspoeling, 5% voor een gemiddelde mestuitspoeling en 10% voor een hoge mestuitspoeling. Gebaseerd op 1 gram BZV per gram mest die in het oppervlaktewater terecht komt en bemesting in het zomerhalfjaar, is de belasting bij deze intensiteiten dan als volgt;
- Geen;
- Klasse laag. 0,31 gram BZV/m2 landbouwgrond/dag;
- Klasse midden. 0,71 gram BZV/m2 landbouwgrond/dag;
- Klasse hoog. 1,42 gram BZV/m2 landbouwgrond/dag. 
</t>
        </r>
      </text>
    </comment>
    <comment ref="F34" authorId="0">
      <text>
        <r>
          <rPr>
            <sz val="9"/>
            <color indexed="81"/>
            <rFont val="Tahoma"/>
            <family val="2"/>
          </rPr>
          <t xml:space="preserve">Om de tool werkbaar te houden wordt uitgegaan van een classificering van de bijdrage van mest. De indeling is dan een aaname van de gebruiker, waarbij rekening kan worden gehouden met de hierboven genoemde factoren. De klasses zijn afgeleid uit [ref. 10]: 2% voor een lage mestuitspoeling, 5% voor een gemiddelde mestuitspoeling en 10% voor een hoge mestuitspoeling. Gebaseerd op 1 gram BZV per gram mest die in het oppervlaktewater terecht komt en bemesting in het zomerhalfjaar, is de belasting bij deze intensiteiten dan als volgt;
- Geen;
- Klasse laag. 0,31 gram BZV/m2 landbouwgrond/dag;
- Klasse midden. 0,71 gram BZV/m2 landbouwgrond/dag;
- Klasse hoog. 1,42 gram BZV/m2 landbouwgrond/dag. 
</t>
        </r>
      </text>
    </comment>
    <comment ref="F35" authorId="0">
      <text>
        <r>
          <rPr>
            <sz val="9"/>
            <color indexed="81"/>
            <rFont val="Tahoma"/>
            <family val="2"/>
          </rPr>
          <t xml:space="preserve">Om de tool werkbaar te houden wordt uitgegaan van een classificering van de bijdrage van mest. De indeling is dan een aaname van de gebruiker, waarbij rekening kan worden gehouden met de hierboven genoemde factoren. De klasses zijn afgeleid uit [ref. 10]: 2% voor een lage mestuitspoeling, 5% voor een gemiddelde mestuitspoeling en 10% voor een hoge mestuitspoeling. Gebaseerd op 1 gram BZV per gram mest die in het oppervlaktewater terecht komt en bemesting in het zomerhalfjaar, is de belasting bij deze intensiteiten dan als volgt;
- Geen;
- Klasse laag. 0,31 gram BZV/m2 landbouwgrond/dag;
- Klasse midden. 0,71 gram BZV/m2 landbouwgrond/dag;
- Klasse hoog. 1,42 gram BZV/m2 landbouwgrond/dag. 
</t>
        </r>
      </text>
    </comment>
    <comment ref="F52" authorId="0">
      <text>
        <r>
          <rPr>
            <sz val="9"/>
            <color indexed="81"/>
            <rFont val="Tahoma"/>
            <family val="2"/>
          </rPr>
          <t>Waterdiepte, gemiddeld over het profiel. Is nodig voor berekening</t>
        </r>
      </text>
    </comment>
    <comment ref="F53" authorId="0">
      <text>
        <r>
          <rPr>
            <sz val="9"/>
            <color indexed="81"/>
            <rFont val="Tahoma"/>
            <family val="2"/>
          </rPr>
          <t>Waterbreedte, gemiddeld over het beschouwde traject. Is nodig voor berekening.</t>
        </r>
      </text>
    </comment>
    <comment ref="F54" authorId="0">
      <text>
        <r>
          <rPr>
            <b/>
            <sz val="9"/>
            <color indexed="81"/>
            <rFont val="Tahoma"/>
            <family val="2"/>
          </rPr>
          <t>NB!! BELANGRIJKE PARAMETER</t>
        </r>
        <r>
          <rPr>
            <sz val="9"/>
            <color indexed="81"/>
            <rFont val="Tahoma"/>
            <family val="2"/>
          </rPr>
          <t xml:space="preserve">
Alternatief: niet per se nodig als wateroppervlak is ingevoerd
Geef hier aan over welke lengte van het water het effect moet worden ingeschat. Let op! Afbakening is zeer bepalend voor het effect. 
De berekende belasting wordt gedeeld over het wateroppervlak, hoe groter de lengte, hoe groter het wateroppervlak waarover de belasting wordt verdeeld en hoe geringer het effect!
Door hetzelfde systeem over verschillende lengtes te berekenen, kan de reikwijdte van het effect grofweg worden ingeschat (gevoeligheidsanalyse)</t>
        </r>
      </text>
    </comment>
    <comment ref="F55" authorId="0">
      <text>
        <r>
          <rPr>
            <sz val="9"/>
            <color indexed="81"/>
            <rFont val="Tahoma"/>
            <family val="2"/>
          </rPr>
          <t>Wordt gebruikt voor berekening oppervlak
Alternatief: niet per se nodig als wateroppervlak is ingevoerd</t>
        </r>
      </text>
    </comment>
    <comment ref="F56" authorId="0">
      <text>
        <r>
          <rPr>
            <b/>
            <sz val="9"/>
            <color indexed="81"/>
            <rFont val="Tahoma"/>
            <family val="2"/>
          </rPr>
          <t xml:space="preserve">NB Optioneel, in plaats van berekening oppervlak op basis van vorm, lengte en breedte.
Indien beide zijn opgegeven, dan wordt het ingevoerde oppevlak gecontroleerd met de opgegeven vorm, lengte en breedte </t>
        </r>
        <r>
          <rPr>
            <sz val="9"/>
            <color indexed="81"/>
            <rFont val="Tahoma"/>
            <family val="2"/>
          </rPr>
          <t xml:space="preserve">
Wanneer hier het wateroppervlak wordt ingevuld, dan wordt dit gebruikt voor de berekening. Anders wordt het oppervlak berekend op basis van vorm, lengte en breedte. 
NB! Wanneer het opgegeven oppervlak meer dan 25% afwijkt van  het berekende oppervlak op basis van vorm, lengte en breedte, wordt de cel rood en wordt de tekst cursief en kleurt:
</t>
        </r>
        <r>
          <rPr>
            <b/>
            <i/>
            <sz val="9"/>
            <color indexed="40"/>
            <rFont val="Tahoma"/>
            <family val="2"/>
          </rPr>
          <t xml:space="preserve">blauw bij meer dan 50% kleiner oppervlak
</t>
        </r>
        <r>
          <rPr>
            <b/>
            <i/>
            <sz val="9"/>
            <color indexed="50"/>
            <rFont val="Tahoma"/>
            <family val="2"/>
          </rPr>
          <t>groen bij meer dan 25 kleiner oppervlak</t>
        </r>
        <r>
          <rPr>
            <b/>
            <i/>
            <sz val="9"/>
            <color indexed="40"/>
            <rFont val="Tahoma"/>
            <family val="2"/>
          </rPr>
          <t xml:space="preserve">
</t>
        </r>
        <r>
          <rPr>
            <b/>
            <i/>
            <sz val="9"/>
            <color indexed="52"/>
            <rFont val="Tahoma"/>
            <family val="2"/>
          </rPr>
          <t>oranje bij meer dan 25% groter oppervlak</t>
        </r>
        <r>
          <rPr>
            <b/>
            <i/>
            <sz val="9"/>
            <color indexed="40"/>
            <rFont val="Tahoma"/>
            <family val="2"/>
          </rPr>
          <t xml:space="preserve">
</t>
        </r>
        <r>
          <rPr>
            <b/>
            <i/>
            <sz val="9"/>
            <color indexed="10"/>
            <rFont val="Tahoma"/>
            <family val="2"/>
          </rPr>
          <t xml:space="preserve">rood bij meer dan 50% groter oppervlak.
</t>
        </r>
        <r>
          <rPr>
            <u/>
            <sz val="9"/>
            <color indexed="81"/>
            <rFont val="Tahoma"/>
            <family val="2"/>
          </rPr>
          <t>Voor de berekening wordt het hier opgegeven oppervlak gebruikt</t>
        </r>
        <r>
          <rPr>
            <sz val="9"/>
            <color indexed="81"/>
            <rFont val="Tahoma"/>
            <family val="2"/>
          </rPr>
          <t>, ook als dat sterk afwijkt van het op basis van lengte en breedte berekende oppervlak</t>
        </r>
      </text>
    </comment>
    <comment ref="F63" authorId="0">
      <text>
        <r>
          <rPr>
            <b/>
            <sz val="9"/>
            <color indexed="81"/>
            <rFont val="Tahoma"/>
            <family val="2"/>
          </rPr>
          <t>Waterbalans in m3/dag beschikbaar:</t>
        </r>
        <r>
          <rPr>
            <sz val="9"/>
            <color indexed="81"/>
            <rFont val="Tahoma"/>
            <family val="2"/>
          </rPr>
          <t xml:space="preserve">
Indien de wateraanvoer bekend is, bijvoorbeeld omdat er een waterbalans is opgesteld, kan hier de wateraanvoer in m3/dag worden ingevoerd.
</t>
        </r>
        <r>
          <rPr>
            <b/>
            <sz val="9"/>
            <color indexed="81"/>
            <rFont val="Tahoma"/>
            <family val="2"/>
          </rPr>
          <t>Omrekening mm/dag of cm/s naar m3/dag met rekenhulp:</t>
        </r>
        <r>
          <rPr>
            <sz val="9"/>
            <color indexed="81"/>
            <rFont val="Tahoma"/>
            <family val="2"/>
          </rPr>
          <t xml:space="preserve">
Indien het aantal m3/dag niet bekend is, maar wel de wateraanvoer in mm/dag (</t>
        </r>
        <r>
          <rPr>
            <b/>
            <sz val="9"/>
            <color indexed="81"/>
            <rFont val="Tahoma"/>
            <family val="2"/>
          </rPr>
          <t>rekenhulp optie 1</t>
        </r>
        <r>
          <rPr>
            <sz val="9"/>
            <color indexed="81"/>
            <rFont val="Tahoma"/>
            <family val="2"/>
          </rPr>
          <t>) of de stroomsnelheid  (</t>
        </r>
        <r>
          <rPr>
            <b/>
            <sz val="9"/>
            <color indexed="81"/>
            <rFont val="Tahoma"/>
            <family val="2"/>
          </rPr>
          <t>rekenhulp optie 2)</t>
        </r>
        <r>
          <rPr>
            <sz val="9"/>
            <color indexed="81"/>
            <rFont val="Tahoma"/>
            <family val="2"/>
          </rPr>
          <t xml:space="preserve"> , kan dit eenvoudig worden omgerekend in m3/dag met behulp van de betreffende invulvelden in het tabblad "rekenhulp wateraanvoer"
</t>
        </r>
        <r>
          <rPr>
            <b/>
            <sz val="9"/>
            <color indexed="81"/>
            <rFont val="Tahoma"/>
            <family val="2"/>
          </rPr>
          <t xml:space="preserve">
Schatting m3/dag m.b.v. rekenhulp: </t>
        </r>
        <r>
          <rPr>
            <sz val="9"/>
            <color indexed="81"/>
            <rFont val="Tahoma"/>
            <family val="2"/>
          </rPr>
          <t xml:space="preserve">
Met behulp van de "rekenhulp wateraanvoer" kan ook een schatting worden gemaakt van de aanvoer door neerslag- en neerslagafvoer, op basis van het bodemtype en de arealen verhard en onverhard gebied die direct en indirect afwateren op het watersysteem. Zie hiervoor </t>
        </r>
        <r>
          <rPr>
            <b/>
            <sz val="9"/>
            <color indexed="81"/>
            <rFont val="Tahoma"/>
            <family val="2"/>
          </rPr>
          <t xml:space="preserve">rekenhulp optie 3
</t>
        </r>
        <r>
          <rPr>
            <sz val="9"/>
            <color indexed="81"/>
            <rFont val="Tahoma"/>
            <family val="2"/>
          </rPr>
          <t xml:space="preserve">
</t>
        </r>
        <r>
          <rPr>
            <b/>
            <sz val="9"/>
            <color indexed="81"/>
            <rFont val="Tahoma"/>
            <family val="2"/>
          </rPr>
          <t xml:space="preserve">Indicatieve schatting: </t>
        </r>
        <r>
          <rPr>
            <sz val="9"/>
            <color indexed="81"/>
            <rFont val="Tahoma"/>
            <family val="2"/>
          </rPr>
          <t xml:space="preserve">
Zie hieronder bij "wateraanvoer indicatief" en/of bij </t>
        </r>
        <r>
          <rPr>
            <b/>
            <sz val="9"/>
            <color indexed="81"/>
            <rFont val="Tahoma"/>
            <family val="2"/>
          </rPr>
          <t>rekenhulp optie 4</t>
        </r>
        <r>
          <rPr>
            <sz val="9"/>
            <color indexed="81"/>
            <rFont val="Tahoma"/>
            <family val="2"/>
          </rPr>
          <t xml:space="preserve">
</t>
        </r>
      </text>
    </comment>
    <comment ref="F64" authorId="0">
      <text>
        <r>
          <rPr>
            <b/>
            <sz val="9"/>
            <color indexed="81"/>
            <rFont val="Tahoma"/>
            <family val="2"/>
          </rPr>
          <t>Indicatieve schatting van de wateraanvoer op basis van het onderscheid in de volgende aanvoer(water)typen:</t>
        </r>
        <r>
          <rPr>
            <sz val="9"/>
            <color indexed="81"/>
            <rFont val="Tahoma"/>
            <family val="2"/>
          </rPr>
          <t xml:space="preserve">
</t>
        </r>
        <r>
          <rPr>
            <b/>
            <sz val="9"/>
            <color indexed="81"/>
            <rFont val="Tahoma"/>
            <family val="2"/>
          </rPr>
          <t xml:space="preserve">Stilstaande wateren (&lt; 1 cm/s). </t>
        </r>
        <r>
          <rPr>
            <sz val="9"/>
            <color indexed="81"/>
            <rFont val="Tahoma"/>
            <family val="2"/>
          </rPr>
          <t xml:space="preserve">
Debiet in m3/dag wordt berekend door onderstaande hydraulische belasting (in mm/d) te vermenigvuldigen met het wateroppervlak.
1. geïsoleerd, alleen neerslag (2,3 mm/d) 
2. geïsoleerd + onverhard ca. 20% water (6 mm/d) 
3. polder circa 5% open water (20 mm/d)</t>
        </r>
        <r>
          <rPr>
            <sz val="9"/>
            <color indexed="81"/>
            <rFont val="Tahoma"/>
            <family val="2"/>
          </rPr>
          <t xml:space="preserve">
4. polder circa 2% open water (75 mm/d)</t>
        </r>
        <r>
          <rPr>
            <sz val="9"/>
            <color indexed="81"/>
            <rFont val="Tahoma"/>
            <family val="2"/>
          </rPr>
          <t xml:space="preserve">
5: hoofdwatergang polder (150 mm/d)
</t>
        </r>
        <r>
          <rPr>
            <b/>
            <sz val="9"/>
            <color indexed="81"/>
            <rFont val="Tahoma"/>
            <family val="2"/>
          </rPr>
          <t xml:space="preserve">Stromende wateren (&gt;= 1 cm/s). </t>
        </r>
        <r>
          <rPr>
            <sz val="9"/>
            <color indexed="81"/>
            <rFont val="Tahoma"/>
            <family val="2"/>
          </rPr>
          <t xml:space="preserve">
Debiet in m3/dag wordt berekend door onderstaande stroomsnelheid (in cm/s) te vermenigvuldigen met de natte doorsnede (breedte*diepte).
6: boezemkanaal / riviertje (1 cm/s)
7: langzaam stromende beek (5 cm/s)
8: matig stromende beek (10 cm/s)
9: snel stromende beek (30 cm/s)
10: zeer snel stromende beek (60 cm/s)
</t>
        </r>
      </text>
    </comment>
    <comment ref="F73" authorId="0">
      <text>
        <r>
          <rPr>
            <sz val="9"/>
            <color indexed="81"/>
            <rFont val="Tahoma"/>
            <family val="2"/>
          </rPr>
          <t xml:space="preserve">De </t>
        </r>
        <r>
          <rPr>
            <b/>
            <sz val="9"/>
            <color indexed="81"/>
            <rFont val="Tahoma"/>
            <family val="2"/>
          </rPr>
          <t>watertemperatuur</t>
        </r>
        <r>
          <rPr>
            <sz val="9"/>
            <color indexed="81"/>
            <rFont val="Tahoma"/>
            <family val="2"/>
          </rPr>
          <t xml:space="preserve"> wordt gebruikt bij de berekening van de reaëratie, default wordt 20 graden Celcius aangehouden</t>
        </r>
      </text>
    </comment>
    <comment ref="F74" authorId="0">
      <text>
        <r>
          <rPr>
            <sz val="9"/>
            <color indexed="81"/>
            <rFont val="Tahoma"/>
            <family val="2"/>
          </rPr>
          <t xml:space="preserve">Geef hier de </t>
        </r>
        <r>
          <rPr>
            <b/>
            <sz val="9"/>
            <color indexed="81"/>
            <rFont val="Tahoma"/>
            <family val="2"/>
          </rPr>
          <t>kroosbedekkingsgraad</t>
        </r>
        <r>
          <rPr>
            <sz val="9"/>
            <color indexed="81"/>
            <rFont val="Tahoma"/>
            <family val="2"/>
          </rPr>
          <t xml:space="preserve"> aan, waarbij  0=geen kroos en 1=100% kroos.
Deze waard wordt gebruikt voor de berekening van de reaeratie, drijflagen beperken de uitwisseling van zuurstof. Zie de handleiding voor een verdere toelichting.</t>
        </r>
      </text>
    </comment>
    <comment ref="F75" authorId="0">
      <text>
        <r>
          <rPr>
            <b/>
            <sz val="9"/>
            <color indexed="81"/>
            <rFont val="Tahoma"/>
            <family val="2"/>
          </rPr>
          <t>Windinvloed en stroming:</t>
        </r>
        <r>
          <rPr>
            <sz val="9"/>
            <color indexed="81"/>
            <rFont val="Tahoma"/>
            <family val="2"/>
          </rPr>
          <t xml:space="preserve">
De gekozen waarde wordt gebruikt bij het bepalen van de minimale waarde voor de reaëratieconstante. Dit is een belangrijke parameter. Minimale waarden van de reaëratieconstante variëren in de defaultopzet van de tool van 0,1-0,3/d voor stilstaande wateren tot 0.6/d voor stromende wateren. De volgende categorieen worden onderscheiden:
1. Stagnant, windinvloed laag: kleine en beschutte wateren zoals vijvers en sloten in bebouwd gebied of bosgebied of met een waterpeil dat ver beneden maaiveld ligt. KLmin=0,1/d.;
2. Stagnant, windinvloed matig: middelgrote en/of minder beschutte wateren, zoals vijvers, sloten en kanalen in een open omgeving. KLmin=0,2/d.;
3. Stagnant, windinvloed hoog: grote en op de wind geëxponeerde wateren. KLmin=0,3/d.
4. Stromende wateren (&gt; 5 cm/s). KLmin=0,6/d.
</t>
        </r>
      </text>
    </comment>
    <comment ref="F78" authorId="0">
      <text>
        <r>
          <rPr>
            <sz val="9"/>
            <color indexed="81"/>
            <rFont val="Tahoma"/>
            <family val="2"/>
          </rPr>
          <t xml:space="preserve">Hier staat de voor de berekeningen gebruikte </t>
        </r>
        <r>
          <rPr>
            <b/>
            <sz val="9"/>
            <color indexed="81"/>
            <rFont val="Tahoma"/>
            <family val="2"/>
          </rPr>
          <t>reaëratieconstante.</t>
        </r>
        <r>
          <rPr>
            <sz val="9"/>
            <color indexed="81"/>
            <rFont val="Tahoma"/>
            <family val="2"/>
          </rPr>
          <t xml:space="preserve"> Deze is bepaald met de relaties uit TEWOR (zie handleiding). De hier gepresenteerde reaëratieconstante is:
- afgeleid op basis van de stroomsnelheid met de relaties uit TEWOR;
- voor stagnante wateren geminimaliseerd op basis van de windinvloed (laag, matig of hoog);
- voor stromende wateren geminimaliseerd op basis van een vaste minimumwaarde;
- gecorrigeerd met een factor voor drijflagen, waarbij de waarde is geminimaliseerd op 0.1.
zie voor berekening blad "zuurstofberekening"</t>
        </r>
      </text>
    </comment>
    <comment ref="F81" authorId="0">
      <text>
        <r>
          <rPr>
            <sz val="9"/>
            <color indexed="81"/>
            <rFont val="Tahoma"/>
            <family val="2"/>
          </rPr>
          <t xml:space="preserve">Geef hier het gemiddelde zuurstofgehalte aan van het aanvoerwater voor de periode waarover de berekening van belang is (bijvoorbeeld het zomergemiddelde).
Default = 6mgO2/l </t>
        </r>
        <r>
          <rPr>
            <b/>
            <sz val="9"/>
            <color indexed="81"/>
            <rFont val="Tahoma"/>
            <family val="2"/>
          </rPr>
          <t xml:space="preserve">
</t>
        </r>
        <r>
          <rPr>
            <sz val="9"/>
            <color indexed="81"/>
            <rFont val="Tahoma"/>
            <family val="2"/>
          </rPr>
          <t xml:space="preserve">
</t>
        </r>
      </text>
    </comment>
    <comment ref="F82" authorId="0">
      <text>
        <r>
          <rPr>
            <sz val="9"/>
            <color indexed="81"/>
            <rFont val="Tahoma"/>
            <family val="2"/>
          </rPr>
          <t xml:space="preserve">Geef hier het gemiddelde ammoniumgehalte aan van het aanvoerwater voor de periode waarover de berekening van belang is (bijvoorbeeld het zomergemiddelde).
Default = 0.2mg NH4-N/l </t>
        </r>
        <r>
          <rPr>
            <b/>
            <sz val="9"/>
            <color indexed="81"/>
            <rFont val="Tahoma"/>
            <family val="2"/>
          </rPr>
          <t xml:space="preserve">
</t>
        </r>
        <r>
          <rPr>
            <sz val="9"/>
            <color indexed="81"/>
            <rFont val="Tahoma"/>
            <family val="2"/>
          </rPr>
          <t xml:space="preserve">
</t>
        </r>
      </text>
    </comment>
    <comment ref="F83" authorId="0">
      <text>
        <r>
          <rPr>
            <sz val="9"/>
            <color indexed="81"/>
            <rFont val="Tahoma"/>
            <family val="2"/>
          </rPr>
          <t xml:space="preserve">Geef hier het gemiddelde BZV-gehalte aan van het aanvoerwater voor de periode waarover de berekening van belang is (bijvoorbeeld het zomergemiddelde).
Default = 2mgO2/l 
</t>
        </r>
      </text>
    </comment>
    <comment ref="F102" authorId="0">
      <text>
        <r>
          <rPr>
            <sz val="9"/>
            <color indexed="81"/>
            <rFont val="Tahoma"/>
            <family val="2"/>
          </rPr>
          <t xml:space="preserve">Geef hier het gemiddelde zuurstofgehalte aan van het oppervlaktewater voor de periode waarover de berekening van belang is (bijvoorbeeld het zomergemiddelde).
</t>
        </r>
        <r>
          <rPr>
            <sz val="9"/>
            <color indexed="81"/>
            <rFont val="Tahoma"/>
            <family val="2"/>
          </rPr>
          <t xml:space="preserve">
</t>
        </r>
      </text>
    </comment>
    <comment ref="F103" authorId="0">
      <text>
        <r>
          <rPr>
            <sz val="9"/>
            <color indexed="81"/>
            <rFont val="Tahoma"/>
            <family val="2"/>
          </rPr>
          <t>Geef hier het gemiddelde ammoniumgehalte aan van het oppervlaktewater voor de periode waarover de berekening van belang is (bijvoorbeeld het zomergemiddelde).</t>
        </r>
        <r>
          <rPr>
            <sz val="9"/>
            <color indexed="81"/>
            <rFont val="Tahoma"/>
            <family val="2"/>
          </rPr>
          <t xml:space="preserve">
</t>
        </r>
      </text>
    </comment>
    <comment ref="F104" authorId="0">
      <text>
        <r>
          <rPr>
            <sz val="9"/>
            <color indexed="81"/>
            <rFont val="Tahoma"/>
            <family val="2"/>
          </rPr>
          <t xml:space="preserve">Geef hier het gemiddelde BZV-gehalte aan van het oppervlaktewater voor de periode waarover de berekening van belang is (bijvoorbeeld het zomergemiddelde).
</t>
        </r>
      </text>
    </comment>
    <comment ref="F107" authorId="0">
      <text>
        <r>
          <rPr>
            <b/>
            <sz val="9"/>
            <color indexed="81"/>
            <rFont val="Tahoma"/>
            <family val="2"/>
          </rPr>
          <t>Sedimentzuurstofverbruik</t>
        </r>
        <r>
          <rPr>
            <sz val="9"/>
            <color indexed="81"/>
            <rFont val="Tahoma"/>
            <family val="2"/>
          </rPr>
          <t xml:space="preserve">
Het sedimentzuurstofverbruik (SZV) is het zuurstofverbruik door afbraakprocessen in de sliblaag van de waterbodem (of door de waterbodem zelf in geval van organische veenbodems). De opbouw van een (organische) sliblaag heeft uiteraard een relatie met de belasting met organisch stof (via bezinking) en de belasting met nutriënten (via het voedselweb). 
In deze tool wordt een schatting gegeven van het sedimentzuurstofverbruik op basis van de langzaam afbreekbare fractie in de belasting. In werkelijkheid kan het SZV sterk afwijken van deze schatting. Bijvoorbeeld lager zijn doordat de waterbodem net is gebaggerd of doordat er periodiek veel stroming is of juist hoger indien er sprake is van een hoge productie van organisch materiaal door een hoge nutriëntenbelasting of in het geval van organische (veen)bodems. 
</t>
        </r>
        <r>
          <rPr>
            <b/>
            <sz val="9"/>
            <color indexed="81"/>
            <rFont val="Tahoma"/>
            <family val="2"/>
          </rPr>
          <t>Vergelijking van berekende SZV met in het veld gemeten SZV of referentiewaarden</t>
        </r>
        <r>
          <rPr>
            <sz val="9"/>
            <color indexed="81"/>
            <rFont val="Tahoma"/>
            <family val="2"/>
          </rPr>
          <t xml:space="preserve">
Indien het SZV in het veld is gemeten of wanneer bekend is wat de toestand (slibdikte en samenstelling) van de waterbodem is, kan deze worden gebruikt om een vergelijking te maken. 
De  sedimentzuurstofvraag op basisi van de situatie in het veld (meting of schatting obv referentiewaarden) en de (op basis van de belasting) berekende sedimentzuurstofvraag worden (grafisch) met elkaar vergeleken. Wanneer er een groot verschil zit tussen beide, kan dit een aanwijzing zijn voor o.a.:
</t>
        </r>
        <r>
          <rPr>
            <b/>
            <i/>
            <sz val="9"/>
            <color indexed="81"/>
            <rFont val="Tahoma"/>
            <family val="2"/>
          </rPr>
          <t>Schatting SZV tool te laag</t>
        </r>
        <r>
          <rPr>
            <sz val="9"/>
            <color indexed="81"/>
            <rFont val="Tahoma"/>
            <family val="2"/>
          </rPr>
          <t xml:space="preserve">
- extra bronnen (onderschatting door bronnen die buiten beeld zijn gebleven);
- een erfenis uit het verleden (onderschatting door aanwezigheid van een dikke baggerlaag);
- en hoge nutriëntenbelasting (onderschatting door een hoge productiviteit en baggervorming).
</t>
        </r>
        <r>
          <rPr>
            <b/>
            <i/>
            <sz val="9"/>
            <color indexed="81"/>
            <rFont val="Tahoma"/>
            <family val="2"/>
          </rPr>
          <t>Schatting SZV tool te hoog</t>
        </r>
        <r>
          <rPr>
            <sz val="9"/>
            <color indexed="81"/>
            <rFont val="Tahoma"/>
            <family val="2"/>
          </rPr>
          <t xml:space="preserve">
- een overschatting van het sedimentzuurstofverbruik omdat de belasting te hoog is ingeschat;
- een overschatting omdat er net is gebaggerd  
</t>
        </r>
        <r>
          <rPr>
            <b/>
            <sz val="9"/>
            <color indexed="81"/>
            <rFont val="Tahoma"/>
            <family val="2"/>
          </rPr>
          <t>Referentiewaarden SZV</t>
        </r>
        <r>
          <rPr>
            <sz val="9"/>
            <color indexed="81"/>
            <rFont val="Tahoma"/>
            <family val="2"/>
          </rPr>
          <t xml:space="preserve">
De sedimentzuurstofvraag kan ook worden geschat op basis van de dikte en samenstelling van de sliblaag. Globaal kunnen de volgende waarden worden aangehouden (bron: TEWOR; http://stowa.nl/Upload/publicaties2/2004_01.pdf):
- Minerale bodems: SZV=0.1 gO2/m2/dag;
- Zandige “normale” bodems: SZV=0.5 gO2/m2/dag;
- Bodems zonder dikke sliblaag: SZV=1 gO2/m2/dag;
- Bodems met sliblaag: SZV=2 gO2/m2/dag;
- Nabij regelmatig functionerende overstort, of bodem bedekt met bladval: SZV=4 gO2/m2/dag.
Een andere benadering kan zijn om de dikte van de sliblaag te gebruiken. Een modelkalibratie gaf goede resultaten bij een SOD = wortel(slibdikte in cm) met sliblagen tot 10 cm. Er is geen relatie gevonden met het organische stofgehalte van de waterbodem.
</t>
        </r>
      </text>
    </comment>
  </commentList>
</comments>
</file>

<file path=xl/comments2.xml><?xml version="1.0" encoding="utf-8"?>
<comments xmlns="http://schemas.openxmlformats.org/spreadsheetml/2006/main">
  <authors>
    <author>Nico</author>
  </authors>
  <commentList>
    <comment ref="N3" authorId="0">
      <text>
        <r>
          <rPr>
            <sz val="9"/>
            <color indexed="81"/>
            <rFont val="Tahoma"/>
            <family val="2"/>
          </rPr>
          <t xml:space="preserve">deze inschatting is erg grof, alleen voor overstortwater is gebruik gemaakt van TEWOR-gegevens, de overige bronnen zijn geschat
</t>
        </r>
      </text>
    </comment>
    <comment ref="K4"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4"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4"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K5"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5"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5"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K6"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6"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6"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H8" authorId="0">
      <text>
        <r>
          <rPr>
            <sz val="9"/>
            <color indexed="81"/>
            <rFont val="Tahoma"/>
            <family val="2"/>
          </rPr>
          <t xml:space="preserve">uitgaande van DWA, varieert globaal tussen 1 en 10 mgN/l
</t>
        </r>
      </text>
    </comment>
    <comment ref="N29" authorId="0">
      <text>
        <r>
          <rPr>
            <sz val="9"/>
            <color indexed="81"/>
            <rFont val="Tahoma"/>
            <family val="2"/>
          </rPr>
          <t xml:space="preserve">deze inschatting is erg grof, alleen voor overstortwater is gebruik gemaakt van TEWOR-gegevens, de overige bronnen zijn geschat
</t>
        </r>
      </text>
    </comment>
    <comment ref="K30"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30"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30"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K31"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31"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31"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 ref="K32" authorId="0">
      <text>
        <r>
          <rPr>
            <b/>
            <sz val="9"/>
            <color indexed="81"/>
            <rFont val="Tahoma"/>
            <family val="2"/>
          </rPr>
          <t xml:space="preserve">Uitgegaan van situatie direct na overstort T=1:
</t>
        </r>
        <r>
          <rPr>
            <sz val="9"/>
            <color indexed="81"/>
            <rFont val="Tahoma"/>
            <family val="2"/>
          </rPr>
          <t>verdeling zuurstofvraag over 5 dagen (BZV5 = zuurstofvraag na 5 dagen)
BZV per dag = totaal BZV5 in belasting/5</t>
        </r>
      </text>
    </comment>
    <comment ref="L32" authorId="0">
      <text>
        <r>
          <rPr>
            <b/>
            <sz val="9"/>
            <color indexed="81"/>
            <rFont val="Tahoma"/>
            <family val="2"/>
          </rPr>
          <t xml:space="preserve">Uitgegaan van situatie direct na overstort T=1:
</t>
        </r>
        <r>
          <rPr>
            <sz val="9"/>
            <color indexed="81"/>
            <rFont val="Tahoma"/>
            <family val="2"/>
          </rPr>
          <t>verdeling zuurstofvraag over 5 dagen 
NH4-N per dag = totaal NH4-N in belasting/5</t>
        </r>
      </text>
    </comment>
    <comment ref="M32" authorId="0">
      <text>
        <r>
          <rPr>
            <b/>
            <sz val="9"/>
            <color indexed="81"/>
            <rFont val="Tahoma"/>
            <family val="2"/>
          </rPr>
          <t>Uitgegaan van jaargemiddelde situatie</t>
        </r>
        <r>
          <rPr>
            <sz val="9"/>
            <color indexed="81"/>
            <rFont val="Tahoma"/>
            <family val="2"/>
          </rPr>
          <t xml:space="preserve">
Dit gaat om de langzaam afbreekbare fractie. Dit kental wordt gebruikt voor de jaarvracht. Waarde daarom gedeeld door 365
</t>
        </r>
      </text>
    </comment>
  </commentList>
</comments>
</file>

<file path=xl/comments3.xml><?xml version="1.0" encoding="utf-8"?>
<comments xmlns="http://schemas.openxmlformats.org/spreadsheetml/2006/main">
  <authors>
    <author>Fenw</author>
    <author>Nico</author>
  </authors>
  <commentList>
    <comment ref="B6" authorId="0">
      <text>
        <r>
          <rPr>
            <sz val="12"/>
            <color indexed="81"/>
            <rFont val="Tahoma"/>
            <family val="2"/>
          </rPr>
          <t>Als bekend, vul hier dan de wateraanvoer in mm/dag in.</t>
        </r>
      </text>
    </comment>
    <comment ref="B7" authorId="0">
      <text>
        <r>
          <rPr>
            <sz val="12"/>
            <color indexed="81"/>
            <rFont val="Tahoma"/>
            <family val="2"/>
          </rPr>
          <t>Deze informatie komt uit het invulblad. In het invulblad moeten dus eerst de dimensies van het watersysteem worden ingevuld.</t>
        </r>
      </text>
    </comment>
    <comment ref="B14" authorId="0">
      <text>
        <r>
          <rPr>
            <sz val="12"/>
            <color indexed="81"/>
            <rFont val="Tahoma"/>
            <family val="2"/>
          </rPr>
          <t xml:space="preserve">Als bekend, vul hier dan de stroomsnelheid in m/s in (of doe een schatting).
</t>
        </r>
      </text>
    </comment>
    <comment ref="B15" authorId="0">
      <text>
        <r>
          <rPr>
            <sz val="12"/>
            <color indexed="81"/>
            <rFont val="Tahoma"/>
            <family val="2"/>
          </rPr>
          <t xml:space="preserve">Deze informatie komt uit het invulblad. In het invulblad moet dus eerst de dimensies van het watersysteem worden ingevuld. </t>
        </r>
      </text>
    </comment>
    <comment ref="B23" authorId="0">
      <text>
        <r>
          <rPr>
            <sz val="12"/>
            <color indexed="81"/>
            <rFont val="Tahoma"/>
            <family val="2"/>
          </rPr>
          <t>Default: ca. 850 mm/jaar, of gebruik gegevens van het KNMI.</t>
        </r>
      </text>
    </comment>
    <comment ref="B24" authorId="0">
      <text>
        <r>
          <rPr>
            <sz val="12"/>
            <color indexed="81"/>
            <rFont val="Tahoma"/>
            <family val="2"/>
          </rPr>
          <t>Referentiegewasverdamping: ca. 600 mm/jaar, of gebruik gegevens van het KNMI.</t>
        </r>
      </text>
    </comment>
    <comment ref="B27" authorId="0">
      <text>
        <r>
          <rPr>
            <sz val="12"/>
            <color indexed="81"/>
            <rFont val="Tahoma"/>
            <family val="2"/>
          </rPr>
          <t>Schatting van het onverharde oppervlak dat rechtstreeks op de waterpartij afvoert. 
Verhard oppervlak wordt in het invulblad verdisconteerd.</t>
        </r>
      </text>
    </comment>
    <comment ref="B28" authorId="0">
      <text>
        <r>
          <rPr>
            <sz val="12"/>
            <color indexed="81"/>
            <rFont val="Tahoma"/>
            <family val="2"/>
          </rPr>
          <t xml:space="preserve">1: zand
2: veen
3: klei
</t>
        </r>
      </text>
    </comment>
    <comment ref="B33" authorId="0">
      <text>
        <r>
          <rPr>
            <sz val="12"/>
            <color indexed="81"/>
            <rFont val="Tahoma"/>
            <family val="2"/>
          </rPr>
          <t>1: gescheiden/afgekoppeld/geen stelsel
2: verbeterd gescheiden
3: gemengd</t>
        </r>
      </text>
    </comment>
    <comment ref="B42" authorId="0">
      <text>
        <r>
          <rPr>
            <sz val="12"/>
            <color indexed="81"/>
            <rFont val="Tahoma"/>
            <family val="2"/>
          </rPr>
          <t xml:space="preserve">Deze informatie komt uit het invulblad. In het invulblad moet dus eerst de dimensies van het watersysteem worden ingevuld. </t>
        </r>
      </text>
    </comment>
    <comment ref="B43" authorId="0">
      <text>
        <r>
          <rPr>
            <sz val="12"/>
            <color indexed="81"/>
            <rFont val="Tahoma"/>
            <family val="2"/>
          </rPr>
          <t xml:space="preserve">Indicatieve schatting van de wateraanvoer op basis van het onderscheid in de volgende aanvoer(water)typen:
</t>
        </r>
        <r>
          <rPr>
            <b/>
            <sz val="12"/>
            <color indexed="81"/>
            <rFont val="Tahoma"/>
            <family val="2"/>
          </rPr>
          <t xml:space="preserve">
Stilstaande wateren (&lt; 1 cm/s). </t>
        </r>
        <r>
          <rPr>
            <sz val="12"/>
            <color indexed="81"/>
            <rFont val="Tahoma"/>
            <family val="2"/>
          </rPr>
          <t xml:space="preserve">Debiet in m3/dag wordt berekend door onderstaande hydraulische belasting (in mm/d) te vermenigvuldigen met het wateroppervlak.
1. geïsoleerd, alleen neerslag (2.3 mm/d) 
2. geïsoleerd + onverhard ca. 20% water (6 mm/d) 
3. polder circa 5% open water (20 mm/d) 
4. polder circa 2% open water (75 mm/d) 
5: hoofdwatergang polder (150 mm/d)
</t>
        </r>
        <r>
          <rPr>
            <b/>
            <sz val="12"/>
            <color indexed="81"/>
            <rFont val="Tahoma"/>
            <family val="2"/>
          </rPr>
          <t xml:space="preserve">
Stromende wateren (&gt;= 1 cm/s).</t>
        </r>
        <r>
          <rPr>
            <sz val="12"/>
            <color indexed="81"/>
            <rFont val="Tahoma"/>
            <family val="2"/>
          </rPr>
          <t xml:space="preserve"> Debiet in m3/dag wordt berekend door onderstaande stroomsnelheid (in cm/s) te vermenigvuldigen met de natte doorsnede (breedte*diepte).
6: boezemkanaal / riviertje (1 cm/s)
7: langzaam stromende beek (5 cm/s)
8: matig stromende beek (10 cm/s)
9: snel stromende beek (30 cm/s)
10: zeer snel stromende beek (60 cm/s)</t>
        </r>
      </text>
    </comment>
    <comment ref="D71" authorId="1">
      <text/>
    </comment>
  </commentList>
</comments>
</file>

<file path=xl/comments4.xml><?xml version="1.0" encoding="utf-8"?>
<comments xmlns="http://schemas.openxmlformats.org/spreadsheetml/2006/main">
  <authors>
    <author>Nico</author>
  </authors>
  <commentList>
    <comment ref="B59" authorId="0">
      <text>
        <r>
          <rPr>
            <sz val="9"/>
            <color indexed="81"/>
            <rFont val="Tahoma"/>
            <family val="2"/>
          </rPr>
          <t xml:space="preserve">Het gaat hier om de totale zuurstofvraag van de belasting in gO2/m2/dag:
BZVfijn+BZVgrof+NH4-N (=4.57 gO2/gN)
</t>
        </r>
      </text>
    </comment>
  </commentList>
</comments>
</file>

<file path=xl/sharedStrings.xml><?xml version="1.0" encoding="utf-8"?>
<sst xmlns="http://schemas.openxmlformats.org/spreadsheetml/2006/main" count="1190" uniqueCount="471">
  <si>
    <t>voorwaarden</t>
  </si>
  <si>
    <t>IBA's</t>
  </si>
  <si>
    <t>hondenpoep</t>
  </si>
  <si>
    <t>septic tanks</t>
  </si>
  <si>
    <t>voeren vogels</t>
  </si>
  <si>
    <t>lokvoer vissen</t>
  </si>
  <si>
    <t>eenheid</t>
  </si>
  <si>
    <t>aantal</t>
  </si>
  <si>
    <t>type water</t>
  </si>
  <si>
    <t>vorm</t>
  </si>
  <si>
    <t>waterdiepte</t>
  </si>
  <si>
    <t>waterbreedte</t>
  </si>
  <si>
    <t>lengte watergang</t>
  </si>
  <si>
    <t>m</t>
  </si>
  <si>
    <t>omschrijving</t>
  </si>
  <si>
    <t>matig</t>
  </si>
  <si>
    <t>toelichting</t>
  </si>
  <si>
    <t>oordeel voorwaarden</t>
  </si>
  <si>
    <r>
      <t>m</t>
    </r>
    <r>
      <rPr>
        <vertAlign val="superscript"/>
        <sz val="11"/>
        <color theme="1"/>
        <rFont val="Calibri"/>
        <family val="2"/>
        <scheme val="minor"/>
      </rPr>
      <t>2</t>
    </r>
  </si>
  <si>
    <r>
      <t>m</t>
    </r>
    <r>
      <rPr>
        <vertAlign val="superscript"/>
        <sz val="11"/>
        <color theme="1"/>
        <rFont val="Calibri"/>
        <family val="2"/>
        <scheme val="minor"/>
      </rPr>
      <t>3</t>
    </r>
  </si>
  <si>
    <t>zie opmerking</t>
  </si>
  <si>
    <t>wateroppervlak</t>
  </si>
  <si>
    <t>watervolume</t>
  </si>
  <si>
    <t>hoog</t>
  </si>
  <si>
    <t>laag</t>
  </si>
  <si>
    <t>gemiddelde waterdiepte</t>
  </si>
  <si>
    <t>gemiddelde waterbreedte</t>
  </si>
  <si>
    <t>eenheid kental</t>
  </si>
  <si>
    <t>overige bron1</t>
  </si>
  <si>
    <t>overige bron2</t>
  </si>
  <si>
    <t>overige bron3</t>
  </si>
  <si>
    <t>overige bron4</t>
  </si>
  <si>
    <t>NB! Zie toelichting</t>
  </si>
  <si>
    <t>inkomend debiet</t>
  </si>
  <si>
    <t>oordeel</t>
  </si>
  <si>
    <t>eenheid hoeveelheid</t>
  </si>
  <si>
    <t>stadsvijver laag</t>
  </si>
  <si>
    <t>stadsvijver gem</t>
  </si>
  <si>
    <t>stadsvijver hoog</t>
  </si>
  <si>
    <t>stadssingel 40</t>
  </si>
  <si>
    <t>stadssingel 82</t>
  </si>
  <si>
    <t>stadssingel 124</t>
  </si>
  <si>
    <t>water</t>
  </si>
  <si>
    <t>hoofdwatergang IBA</t>
  </si>
  <si>
    <t>secundaire watergang IBA</t>
  </si>
  <si>
    <t>perceelsloot IBA</t>
  </si>
  <si>
    <t>hoofdwatergang ST</t>
  </si>
  <si>
    <t>secundaire watergang ST</t>
  </si>
  <si>
    <t>perceelsloot ST</t>
  </si>
  <si>
    <t>RWZI effluent</t>
  </si>
  <si>
    <t>kwantiteit</t>
  </si>
  <si>
    <t>kwaliteit</t>
  </si>
  <si>
    <t>vracht</t>
  </si>
  <si>
    <t>hemelwaterafvoer</t>
  </si>
  <si>
    <t>bronnen - piekbelastingen</t>
  </si>
  <si>
    <t>bronnen - continu</t>
  </si>
  <si>
    <r>
      <t>g/m</t>
    </r>
    <r>
      <rPr>
        <vertAlign val="superscript"/>
        <sz val="10"/>
        <color theme="3" tint="0.39994506668294322"/>
        <rFont val="Calibri"/>
        <family val="2"/>
        <scheme val="minor"/>
      </rPr>
      <t>3</t>
    </r>
  </si>
  <si>
    <r>
      <t>m</t>
    </r>
    <r>
      <rPr>
        <vertAlign val="superscript"/>
        <sz val="10"/>
        <color theme="3" tint="0.39994506668294322"/>
        <rFont val="Calibri"/>
        <family val="2"/>
        <scheme val="minor"/>
      </rPr>
      <t>3</t>
    </r>
    <r>
      <rPr>
        <sz val="10"/>
        <color theme="3" tint="0.39991454817346722"/>
        <rFont val="Calibri"/>
        <family val="2"/>
        <scheme val="minor"/>
      </rPr>
      <t>/dag</t>
    </r>
  </si>
  <si>
    <t>eenheid invoer</t>
  </si>
  <si>
    <t>oordeel belasting (laag, matig, hoog)</t>
  </si>
  <si>
    <r>
      <t>belasting (per m</t>
    </r>
    <r>
      <rPr>
        <vertAlign val="superscript"/>
        <sz val="11"/>
        <color theme="1"/>
        <rFont val="Calibri"/>
        <family val="2"/>
        <scheme val="minor"/>
      </rPr>
      <t>2</t>
    </r>
    <r>
      <rPr>
        <sz val="11"/>
        <color theme="1"/>
        <rFont val="Calibri"/>
        <family val="2"/>
        <scheme val="minor"/>
      </rPr>
      <t>)--&gt;</t>
    </r>
  </si>
  <si>
    <t xml:space="preserve">gevoeligheid watersysteem --&gt; </t>
  </si>
  <si>
    <t>bladval loofbomen</t>
  </si>
  <si>
    <t>bladval naaldbomen</t>
  </si>
  <si>
    <r>
      <t>m</t>
    </r>
    <r>
      <rPr>
        <vertAlign val="superscript"/>
        <sz val="11"/>
        <color theme="1"/>
        <rFont val="Calibri"/>
        <family val="2"/>
        <scheme val="minor"/>
      </rPr>
      <t>2</t>
    </r>
    <r>
      <rPr>
        <sz val="11"/>
        <color theme="1"/>
        <rFont val="Calibri"/>
        <family val="2"/>
        <scheme val="minor"/>
      </rPr>
      <t xml:space="preserve"> boomkruin</t>
    </r>
  </si>
  <si>
    <r>
      <t>g/m</t>
    </r>
    <r>
      <rPr>
        <vertAlign val="superscript"/>
        <sz val="10"/>
        <color theme="3" tint="0.39994506668294322"/>
        <rFont val="Calibri"/>
        <family val="2"/>
        <scheme val="minor"/>
      </rPr>
      <t>2</t>
    </r>
  </si>
  <si>
    <t>aantal m oeverlengte</t>
  </si>
  <si>
    <t>g/m</t>
  </si>
  <si>
    <t>aantal eenden</t>
  </si>
  <si>
    <t>standaard waarde t.b.v. omrekening</t>
  </si>
  <si>
    <t>g/eend</t>
  </si>
  <si>
    <r>
      <t>m</t>
    </r>
    <r>
      <rPr>
        <vertAlign val="superscript"/>
        <sz val="10"/>
        <color theme="3" tint="0.39994506668294322"/>
        <rFont val="Calibri"/>
        <family val="2"/>
        <scheme val="minor"/>
      </rPr>
      <t>2</t>
    </r>
  </si>
  <si>
    <t>n</t>
  </si>
  <si>
    <t>aantal vissers</t>
  </si>
  <si>
    <t>intensiteit laag</t>
  </si>
  <si>
    <t>intensiteit matig</t>
  </si>
  <si>
    <t>intensiteit hoog</t>
  </si>
  <si>
    <t>g/visser</t>
  </si>
  <si>
    <r>
      <t>aantal m</t>
    </r>
    <r>
      <rPr>
        <vertAlign val="superscript"/>
        <sz val="11"/>
        <color theme="1"/>
        <rFont val="Calibri"/>
        <family val="2"/>
        <scheme val="minor"/>
      </rPr>
      <t>2</t>
    </r>
    <r>
      <rPr>
        <sz val="11"/>
        <color theme="1"/>
        <rFont val="Calibri"/>
        <family val="2"/>
        <scheme val="minor"/>
      </rPr>
      <t xml:space="preserve"> landbouwgrond</t>
    </r>
  </si>
  <si>
    <t>vul eigen kentallen in --&gt;</t>
  </si>
  <si>
    <t>eigen eenheid</t>
  </si>
  <si>
    <r>
      <t>m</t>
    </r>
    <r>
      <rPr>
        <vertAlign val="superscript"/>
        <sz val="11"/>
        <color theme="1"/>
        <rFont val="Calibri"/>
        <family val="2"/>
        <scheme val="minor"/>
      </rPr>
      <t>3</t>
    </r>
    <r>
      <rPr>
        <sz val="11"/>
        <color theme="1"/>
        <rFont val="Calibri"/>
        <family val="2"/>
        <scheme val="minor"/>
      </rPr>
      <t>/dag</t>
    </r>
  </si>
  <si>
    <t>uitgangspunten</t>
  </si>
  <si>
    <t>berekeningen voor figuren (laten staan)</t>
  </si>
  <si>
    <t>lozing van een IBA op een hoofdwatergang, over een lengte van 100 meter</t>
  </si>
  <si>
    <t>lozing van een septic tank op een hoofdwatergang, over een lengte van 100 meter</t>
  </si>
  <si>
    <t>lozing van een IBA op een secundaire watergang over een lengte van 100 meter</t>
  </si>
  <si>
    <t>lozing van een IBA op een tertiare watergang over een lengte van 100 meter</t>
  </si>
  <si>
    <t>lozing van een septic tank op een secundaire watergang over een lengte van 100 meter</t>
  </si>
  <si>
    <t>lozing van een septic tank op een tertiare watergang over een lengte van 100 meter</t>
  </si>
  <si>
    <t>zie voorbeeld hieronder (tabel 4.8), met een T=1 overstort met een BZV-gehalte van 40mg/l.</t>
  </si>
  <si>
    <t>zie voorbeeld hieronder (tabel 4.8), met een T=1 overstort met een BZV-gehalte van 82mg/l.</t>
  </si>
  <si>
    <t>zie voorbeeld hieronder (tabel 4.8), met een T=1 overstort met een BZV-gehalte van 124mg/l.</t>
  </si>
  <si>
    <t>zie voorbeeld hieronder (tabel 5.6), met een T=1 overstort met een BZV-gehalte van 40mg/l.</t>
  </si>
  <si>
    <t>zie voorbeeld hieronder (tabel 5.6), met een T=1 overstort met een BZV-gehalte van 82mg/l.</t>
  </si>
  <si>
    <t>zie voorbeeld hieronder (tabel 5.6), met een T=1 overstort met een BZV-gehalte van 124mg/l.</t>
  </si>
  <si>
    <t>zeer hoog</t>
  </si>
  <si>
    <t>parameter</t>
  </si>
  <si>
    <t>g/m3</t>
  </si>
  <si>
    <t>zuurstofverzadiging</t>
  </si>
  <si>
    <t>m/d</t>
  </si>
  <si>
    <t>H</t>
  </si>
  <si>
    <t>diepte</t>
  </si>
  <si>
    <t>1/d</t>
  </si>
  <si>
    <t>doorspoeldebiet</t>
  </si>
  <si>
    <t>m3/d</t>
  </si>
  <si>
    <t>zuurstof in doorspoelwater</t>
  </si>
  <si>
    <t>V</t>
  </si>
  <si>
    <t>Volume</t>
  </si>
  <si>
    <t>m3</t>
  </si>
  <si>
    <t>SOD</t>
  </si>
  <si>
    <t>sedimentzuurstofverbruik</t>
  </si>
  <si>
    <t>g/m2/d</t>
  </si>
  <si>
    <t>g/d</t>
  </si>
  <si>
    <t>BZV in doorspoelwater</t>
  </si>
  <si>
    <t>verwachte zuurstofgehalte</t>
  </si>
  <si>
    <r>
      <t>O</t>
    </r>
    <r>
      <rPr>
        <vertAlign val="subscript"/>
        <sz val="10"/>
        <color theme="1"/>
        <rFont val="Calibri"/>
        <family val="2"/>
        <scheme val="minor"/>
      </rPr>
      <t>s</t>
    </r>
  </si>
  <si>
    <r>
      <t>K</t>
    </r>
    <r>
      <rPr>
        <vertAlign val="subscript"/>
        <sz val="10"/>
        <color theme="1"/>
        <rFont val="Calibri"/>
        <family val="2"/>
        <scheme val="minor"/>
      </rPr>
      <t>L</t>
    </r>
  </si>
  <si>
    <r>
      <t>M</t>
    </r>
    <r>
      <rPr>
        <vertAlign val="subscript"/>
        <sz val="10"/>
        <color theme="1"/>
        <rFont val="Calibri"/>
        <family val="2"/>
        <scheme val="minor"/>
      </rPr>
      <t>BZV</t>
    </r>
  </si>
  <si>
    <r>
      <t>BZV</t>
    </r>
    <r>
      <rPr>
        <vertAlign val="subscript"/>
        <sz val="10"/>
        <color theme="1"/>
        <rFont val="Calibri"/>
        <family val="2"/>
        <scheme val="minor"/>
      </rPr>
      <t>in</t>
    </r>
  </si>
  <si>
    <r>
      <t>minimaal toelaatbaar O</t>
    </r>
    <r>
      <rPr>
        <vertAlign val="subscript"/>
        <sz val="10"/>
        <color theme="1"/>
        <rFont val="Calibri"/>
        <family val="2"/>
        <scheme val="minor"/>
      </rPr>
      <t>2</t>
    </r>
    <r>
      <rPr>
        <sz val="10"/>
        <color theme="1"/>
        <rFont val="Calibri"/>
        <family val="2"/>
        <scheme val="minor"/>
      </rPr>
      <t>-gehalte</t>
    </r>
  </si>
  <si>
    <t>afspoeling mest</t>
  </si>
  <si>
    <t>(bij voorkeur toepassen op peilvak / polderniveau)</t>
  </si>
  <si>
    <t>SZV</t>
  </si>
  <si>
    <t>zuurstofgehalte aanvoerwater</t>
  </si>
  <si>
    <t>(zomer)gemiddelde</t>
  </si>
  <si>
    <t>bronnen --&gt; sediment (SZV)</t>
  </si>
  <si>
    <t>BZV-gehalte aanvoerwater</t>
  </si>
  <si>
    <t>aanvoerwater</t>
  </si>
  <si>
    <t>totale debiet (aanvoer + bronnen)</t>
  </si>
  <si>
    <t>gemiddelde zuurstofgehalte (aanvoer + bronnen)</t>
  </si>
  <si>
    <r>
      <t>O</t>
    </r>
    <r>
      <rPr>
        <vertAlign val="subscript"/>
        <sz val="10"/>
        <color theme="1"/>
        <rFont val="Calibri"/>
        <family val="2"/>
        <scheme val="minor"/>
      </rPr>
      <t>gem</t>
    </r>
  </si>
  <si>
    <r>
      <t>Q</t>
    </r>
    <r>
      <rPr>
        <vertAlign val="subscript"/>
        <sz val="10"/>
        <color theme="1"/>
        <rFont val="Calibri"/>
        <family val="2"/>
        <scheme val="minor"/>
      </rPr>
      <t>tot</t>
    </r>
  </si>
  <si>
    <t>d-1</t>
  </si>
  <si>
    <t>reaeratie</t>
  </si>
  <si>
    <t>chloridegehalte (mg/l)</t>
  </si>
  <si>
    <t>https://content.oss.deltares.nl/delft3d/manuals/D-Water_Quality_Processes_Technical_Reference_Manual.pdf</t>
  </si>
  <si>
    <r>
      <t xml:space="preserve">T </t>
    </r>
    <r>
      <rPr>
        <b/>
        <vertAlign val="superscript"/>
        <sz val="11"/>
        <color theme="1"/>
        <rFont val="Calibri"/>
        <family val="2"/>
        <scheme val="minor"/>
      </rPr>
      <t>o</t>
    </r>
    <r>
      <rPr>
        <b/>
        <sz val="11"/>
        <color theme="1"/>
        <rFont val="Calibri"/>
        <family val="2"/>
        <scheme val="minor"/>
      </rPr>
      <t>C</t>
    </r>
  </si>
  <si>
    <r>
      <t>O</t>
    </r>
    <r>
      <rPr>
        <b/>
        <vertAlign val="subscript"/>
        <sz val="11"/>
        <color theme="1"/>
        <rFont val="Calibri"/>
        <family val="2"/>
        <scheme val="minor"/>
      </rPr>
      <t>s</t>
    </r>
    <r>
      <rPr>
        <b/>
        <sz val="11"/>
        <color theme="1"/>
        <rFont val="Calibri"/>
        <family val="2"/>
        <scheme val="minor"/>
      </rPr>
      <t xml:space="preserve"> [2]</t>
    </r>
  </si>
  <si>
    <r>
      <t>O</t>
    </r>
    <r>
      <rPr>
        <b/>
        <vertAlign val="subscript"/>
        <sz val="11"/>
        <color theme="1"/>
        <rFont val="Calibri"/>
        <family val="2"/>
        <scheme val="minor"/>
      </rPr>
      <t>s_Cl</t>
    </r>
    <r>
      <rPr>
        <b/>
        <sz val="11"/>
        <color theme="1"/>
        <rFont val="Calibri"/>
        <family val="2"/>
        <scheme val="minor"/>
      </rPr>
      <t xml:space="preserve"> [3]</t>
    </r>
  </si>
  <si>
    <r>
      <t>C</t>
    </r>
    <r>
      <rPr>
        <b/>
        <vertAlign val="subscript"/>
        <sz val="11"/>
        <color theme="1"/>
        <rFont val="Calibri"/>
        <family val="2"/>
        <scheme val="minor"/>
      </rPr>
      <t>oxs_1</t>
    </r>
  </si>
  <si>
    <r>
      <t>C</t>
    </r>
    <r>
      <rPr>
        <b/>
        <vertAlign val="subscript"/>
        <sz val="11"/>
        <color theme="1"/>
        <rFont val="Calibri"/>
        <family val="2"/>
        <scheme val="minor"/>
      </rPr>
      <t>oxs_2</t>
    </r>
    <r>
      <rPr>
        <sz val="11"/>
        <color theme="1"/>
        <rFont val="Calibri"/>
        <family val="2"/>
        <scheme val="minor"/>
      </rPr>
      <t/>
    </r>
  </si>
  <si>
    <r>
      <t>SAL (kg/m</t>
    </r>
    <r>
      <rPr>
        <b/>
        <vertAlign val="superscript"/>
        <sz val="11"/>
        <color theme="1"/>
        <rFont val="Calibri"/>
        <family val="2"/>
        <scheme val="minor"/>
      </rPr>
      <t>3</t>
    </r>
    <r>
      <rPr>
        <b/>
        <sz val="11"/>
        <color theme="1"/>
        <rFont val="Calibri"/>
        <family val="2"/>
        <scheme val="minor"/>
      </rPr>
      <t>)</t>
    </r>
  </si>
  <si>
    <t>http://217.170.53.73/duflow/download/03-Zuurstof.pdf</t>
  </si>
  <si>
    <r>
      <t xml:space="preserve">T </t>
    </r>
    <r>
      <rPr>
        <b/>
        <vertAlign val="superscript"/>
        <sz val="11"/>
        <color theme="1"/>
        <rFont val="Calibri"/>
        <family val="2"/>
        <scheme val="minor"/>
      </rPr>
      <t>o</t>
    </r>
    <r>
      <rPr>
        <b/>
        <sz val="11"/>
        <color theme="1"/>
        <rFont val="Calibri"/>
        <family val="2"/>
        <scheme val="minor"/>
      </rPr>
      <t>K</t>
    </r>
  </si>
  <si>
    <t>zuurstofmodel</t>
  </si>
  <si>
    <t>afhankelijk van temperatuur (zie blad "zuurstofberekening") en saliniteit (niet meegenomen)</t>
  </si>
  <si>
    <t>reaeratieconstante, zie hieronder voor gebruikte waarden en herkomst</t>
  </si>
  <si>
    <r>
      <t>- O</t>
    </r>
    <r>
      <rPr>
        <i/>
        <vertAlign val="subscript"/>
        <sz val="10"/>
        <color theme="1" tint="0.499984740745262"/>
        <rFont val="Calibri"/>
        <family val="2"/>
        <scheme val="minor"/>
      </rPr>
      <t>in</t>
    </r>
  </si>
  <si>
    <r>
      <t>- O2</t>
    </r>
    <r>
      <rPr>
        <i/>
        <vertAlign val="subscript"/>
        <sz val="10"/>
        <color theme="1" tint="0.499984740745262"/>
        <rFont val="Calibri"/>
        <family val="2"/>
        <scheme val="minor"/>
      </rPr>
      <t>bron</t>
    </r>
  </si>
  <si>
    <r>
      <t>- Q</t>
    </r>
    <r>
      <rPr>
        <i/>
        <vertAlign val="subscript"/>
        <sz val="10"/>
        <color theme="1" tint="0.499984740745262"/>
        <rFont val="Calibri"/>
        <family val="2"/>
        <scheme val="minor"/>
      </rPr>
      <t>in</t>
    </r>
  </si>
  <si>
    <t>uit invulblad: zuurstofgehalte aanvoerwater</t>
  </si>
  <si>
    <t>naar debiet gewogen gemiddelde zuurstofgehalte aanvoerwater en stationaire bronnen</t>
  </si>
  <si>
    <t>oppervlakte * gemiddelde diepte uit invulblad</t>
  </si>
  <si>
    <t>uit invulblad:BZV-gehalte aanvoerwater</t>
  </si>
  <si>
    <r>
      <t>g/m</t>
    </r>
    <r>
      <rPr>
        <vertAlign val="superscript"/>
        <sz val="10"/>
        <color theme="4"/>
        <rFont val="Calibri"/>
        <family val="2"/>
        <scheme val="minor"/>
      </rPr>
      <t>3</t>
    </r>
  </si>
  <si>
    <r>
      <t>m</t>
    </r>
    <r>
      <rPr>
        <vertAlign val="superscript"/>
        <sz val="10"/>
        <color theme="4"/>
        <rFont val="Calibri"/>
        <family val="2"/>
        <scheme val="minor"/>
      </rPr>
      <t>3</t>
    </r>
    <r>
      <rPr>
        <sz val="10"/>
        <color theme="4"/>
        <rFont val="Calibri"/>
        <family val="2"/>
        <scheme val="minor"/>
      </rPr>
      <t>/dag</t>
    </r>
  </si>
  <si>
    <r>
      <t>m</t>
    </r>
    <r>
      <rPr>
        <vertAlign val="superscript"/>
        <sz val="10"/>
        <color theme="4"/>
        <rFont val="Calibri"/>
        <family val="2"/>
        <scheme val="minor"/>
      </rPr>
      <t>2</t>
    </r>
  </si>
  <si>
    <r>
      <t>g/m</t>
    </r>
    <r>
      <rPr>
        <vertAlign val="superscript"/>
        <sz val="10"/>
        <color theme="4"/>
        <rFont val="Calibri"/>
        <family val="2"/>
        <scheme val="minor"/>
      </rPr>
      <t>2</t>
    </r>
  </si>
  <si>
    <t>risico op onderschrijding minimumwaarde o.b.v. belasting en gevoeligheid --&gt;</t>
  </si>
  <si>
    <t>verhouding verwachte zuurstofgehalte : minimum toelaatbaar gehalte --&gt;</t>
  </si>
  <si>
    <t>globale analyse</t>
  </si>
  <si>
    <t>kental NH4</t>
  </si>
  <si>
    <t>ammoniumgehalte aanvoerwater</t>
  </si>
  <si>
    <r>
      <t>M</t>
    </r>
    <r>
      <rPr>
        <vertAlign val="subscript"/>
        <sz val="10"/>
        <color theme="1"/>
        <rFont val="Calibri"/>
        <family val="2"/>
        <scheme val="minor"/>
      </rPr>
      <t>NH4</t>
    </r>
  </si>
  <si>
    <t>gN/d</t>
  </si>
  <si>
    <t>totale belasting met ammonium</t>
  </si>
  <si>
    <r>
      <t>NH4</t>
    </r>
    <r>
      <rPr>
        <vertAlign val="subscript"/>
        <sz val="10"/>
        <color theme="1"/>
        <rFont val="Calibri"/>
        <family val="2"/>
        <scheme val="minor"/>
      </rPr>
      <t>in</t>
    </r>
  </si>
  <si>
    <t>NH4 in doorspoelwater</t>
  </si>
  <si>
    <t>gN/m3</t>
  </si>
  <si>
    <t>uit invulblad:NH4-gehalte aanvoerwater</t>
  </si>
  <si>
    <t>totaal</t>
  </si>
  <si>
    <t>NH4</t>
  </si>
  <si>
    <t>BZV</t>
  </si>
  <si>
    <r>
      <t>Totale zuurstofvraag (direct en indirect) in gram O</t>
    </r>
    <r>
      <rPr>
        <b/>
        <vertAlign val="subscript"/>
        <sz val="9"/>
        <color theme="1"/>
        <rFont val="Calibri"/>
        <family val="2"/>
        <scheme val="minor"/>
      </rPr>
      <t>2</t>
    </r>
    <r>
      <rPr>
        <b/>
        <sz val="9"/>
        <color theme="1"/>
        <rFont val="Calibri"/>
        <family val="2"/>
        <scheme val="minor"/>
      </rPr>
      <t>/dag</t>
    </r>
  </si>
  <si>
    <r>
      <t>Totale zuurstofvraag  (direct en indirect) in gram O</t>
    </r>
    <r>
      <rPr>
        <b/>
        <vertAlign val="subscript"/>
        <sz val="9"/>
        <color theme="1"/>
        <rFont val="Calibri"/>
        <family val="2"/>
        <scheme val="minor"/>
      </rPr>
      <t>2</t>
    </r>
    <r>
      <rPr>
        <b/>
        <sz val="9"/>
        <color theme="1"/>
        <rFont val="Calibri"/>
        <family val="2"/>
        <scheme val="minor"/>
      </rPr>
      <t>/m</t>
    </r>
    <r>
      <rPr>
        <b/>
        <vertAlign val="superscript"/>
        <sz val="9"/>
        <color theme="1"/>
        <rFont val="Calibri"/>
        <family val="2"/>
        <scheme val="minor"/>
      </rPr>
      <t>2</t>
    </r>
    <r>
      <rPr>
        <b/>
        <sz val="9"/>
        <color theme="1"/>
        <rFont val="Calibri"/>
        <family val="2"/>
        <scheme val="minor"/>
      </rPr>
      <t>/dag</t>
    </r>
  </si>
  <si>
    <t>Totale directe zuurstofvraag BZV5 in gram O2/dag</t>
  </si>
  <si>
    <t>Totale indirecte zuurstofvraag in gram SZV/dag</t>
  </si>
  <si>
    <r>
      <t>Totale directe zuurstofvraag NH4 in gram O</t>
    </r>
    <r>
      <rPr>
        <b/>
        <vertAlign val="subscript"/>
        <sz val="9"/>
        <color theme="1"/>
        <rFont val="Calibri"/>
        <family val="2"/>
        <scheme val="minor"/>
      </rPr>
      <t>2</t>
    </r>
    <r>
      <rPr>
        <b/>
        <sz val="9"/>
        <color theme="1"/>
        <rFont val="Calibri"/>
        <family val="2"/>
        <scheme val="minor"/>
      </rPr>
      <t>/dag</t>
    </r>
  </si>
  <si>
    <r>
      <t>Totale directe zuurstofvraag NH4 in gram O</t>
    </r>
    <r>
      <rPr>
        <b/>
        <vertAlign val="subscript"/>
        <sz val="9"/>
        <color theme="1"/>
        <rFont val="Calibri"/>
        <family val="2"/>
        <scheme val="minor"/>
      </rPr>
      <t>2</t>
    </r>
    <r>
      <rPr>
        <b/>
        <sz val="9"/>
        <color theme="1"/>
        <rFont val="Calibri"/>
        <family val="2"/>
        <scheme val="minor"/>
      </rPr>
      <t>/m</t>
    </r>
    <r>
      <rPr>
        <b/>
        <vertAlign val="superscript"/>
        <sz val="9"/>
        <color theme="1"/>
        <rFont val="Calibri"/>
        <family val="2"/>
        <scheme val="minor"/>
      </rPr>
      <t>2</t>
    </r>
    <r>
      <rPr>
        <b/>
        <sz val="9"/>
        <color theme="1"/>
        <rFont val="Calibri"/>
        <family val="2"/>
        <scheme val="minor"/>
      </rPr>
      <t>/dag</t>
    </r>
  </si>
  <si>
    <r>
      <t>Totale directe zuurstofvraag BZV5 in gram O</t>
    </r>
    <r>
      <rPr>
        <b/>
        <vertAlign val="subscript"/>
        <sz val="9"/>
        <color theme="1"/>
        <rFont val="Calibri"/>
        <family val="2"/>
        <scheme val="minor"/>
      </rPr>
      <t>2</t>
    </r>
    <r>
      <rPr>
        <b/>
        <sz val="9"/>
        <color theme="1"/>
        <rFont val="Calibri"/>
        <family val="2"/>
        <scheme val="minor"/>
      </rPr>
      <t>/m</t>
    </r>
    <r>
      <rPr>
        <b/>
        <vertAlign val="superscript"/>
        <sz val="9"/>
        <color theme="1"/>
        <rFont val="Calibri"/>
        <family val="2"/>
        <scheme val="minor"/>
      </rPr>
      <t>2</t>
    </r>
    <r>
      <rPr>
        <b/>
        <sz val="9"/>
        <color theme="1"/>
        <rFont val="Calibri"/>
        <family val="2"/>
        <scheme val="minor"/>
      </rPr>
      <t>/dag</t>
    </r>
  </si>
  <si>
    <r>
      <t>Totale inirecte zuurstofvraag in gram SZV/m</t>
    </r>
    <r>
      <rPr>
        <b/>
        <vertAlign val="superscript"/>
        <sz val="9"/>
        <color theme="1"/>
        <rFont val="Calibri"/>
        <family val="2"/>
        <scheme val="minor"/>
      </rPr>
      <t>2</t>
    </r>
    <r>
      <rPr>
        <b/>
        <sz val="9"/>
        <color theme="1"/>
        <rFont val="Calibri"/>
        <family val="2"/>
        <scheme val="minor"/>
      </rPr>
      <t>/dag</t>
    </r>
  </si>
  <si>
    <t>m3/dag</t>
  </si>
  <si>
    <t>mm/dag</t>
  </si>
  <si>
    <t>m/s</t>
  </si>
  <si>
    <t>neerslag per jaar mm/jaar</t>
  </si>
  <si>
    <t>verdamping per jaar mm/jaar</t>
  </si>
  <si>
    <t>bodemtype</t>
  </si>
  <si>
    <t>% open water achterliggend systeem</t>
  </si>
  <si>
    <t>type stelsel achterliggend systeem</t>
  </si>
  <si>
    <t>% verhard achterliggend systeem</t>
  </si>
  <si>
    <t>correctie open water</t>
  </si>
  <si>
    <t>correctie onverhard</t>
  </si>
  <si>
    <t>achterliggend systeem: afvoer open water</t>
  </si>
  <si>
    <t>achterliggend systeem: afvoer onverhard</t>
  </si>
  <si>
    <t>achterliggend systeem: afvoer verhard</t>
  </si>
  <si>
    <t>zand</t>
  </si>
  <si>
    <t>klei</t>
  </si>
  <si>
    <t>veen</t>
  </si>
  <si>
    <t>nr</t>
  </si>
  <si>
    <t>fractie</t>
  </si>
  <si>
    <t>1: gescheiden/afgekoppeld/geen stelsel</t>
  </si>
  <si>
    <t>2: verbeterd gescheiden</t>
  </si>
  <si>
    <t>3: gemengd</t>
  </si>
  <si>
    <t>fractie 'afvoer onverhard' per bodemtype</t>
  </si>
  <si>
    <t>fractie 'afvoer verhard' per type stelsel</t>
  </si>
  <si>
    <t>uit invulblad: inkomend debiet in m3/dag</t>
  </si>
  <si>
    <t>zuurstofgehalte bronnen</t>
  </si>
  <si>
    <t>stroomsnelheid</t>
  </si>
  <si>
    <t>berekenen uit debiet en natte doorsnede</t>
  </si>
  <si>
    <t>b</t>
  </si>
  <si>
    <t>breedte</t>
  </si>
  <si>
    <t>fractie (-)</t>
  </si>
  <si>
    <t>getal tussen 0 en 1 (0-100%)</t>
  </si>
  <si>
    <t>bedekking met drijflaag kroos of  afval</t>
  </si>
  <si>
    <t>m.d-1</t>
  </si>
  <si>
    <t>u</t>
  </si>
  <si>
    <t>verschil berekende (incl. drijflagen) en minimaal toelaatbare zuurstofgehalte</t>
  </si>
  <si>
    <t>zuurstof voldoet niet aan norm</t>
  </si>
  <si>
    <t>zuurstof voldoet aan norm</t>
  </si>
  <si>
    <t>m2 wateroppervlak</t>
  </si>
  <si>
    <t>wateraanvoertype</t>
  </si>
  <si>
    <t>cm/s</t>
  </si>
  <si>
    <t>1. geisoleerd, alleen neerslag</t>
  </si>
  <si>
    <t>5: hoofdwatergang polder</t>
  </si>
  <si>
    <t>6: boezemkanaal / riviertje</t>
  </si>
  <si>
    <t>7: langzaamstromende beek</t>
  </si>
  <si>
    <t>8: matig stromende beek</t>
  </si>
  <si>
    <t>9: snel stromende beek</t>
  </si>
  <si>
    <t>10: zeer snel stromende beek</t>
  </si>
  <si>
    <r>
      <t>m</t>
    </r>
    <r>
      <rPr>
        <vertAlign val="superscript"/>
        <sz val="11"/>
        <color theme="1"/>
        <rFont val="Calibri"/>
        <family val="2"/>
        <scheme val="minor"/>
      </rPr>
      <t>3</t>
    </r>
    <r>
      <rPr>
        <sz val="11"/>
        <color theme="1"/>
        <rFont val="Calibri"/>
        <family val="2"/>
        <scheme val="minor"/>
      </rPr>
      <t>/d</t>
    </r>
  </si>
  <si>
    <r>
      <t>mgO</t>
    </r>
    <r>
      <rPr>
        <vertAlign val="subscript"/>
        <sz val="11"/>
        <color theme="1"/>
        <rFont val="Calibri"/>
        <family val="2"/>
        <scheme val="minor"/>
      </rPr>
      <t>2</t>
    </r>
    <r>
      <rPr>
        <sz val="11"/>
        <color theme="1"/>
        <rFont val="Calibri"/>
        <family val="2"/>
        <scheme val="minor"/>
      </rPr>
      <t>/l</t>
    </r>
  </si>
  <si>
    <r>
      <t>mgNH</t>
    </r>
    <r>
      <rPr>
        <vertAlign val="subscript"/>
        <sz val="11"/>
        <color theme="1"/>
        <rFont val="Calibri"/>
        <family val="2"/>
        <scheme val="minor"/>
      </rPr>
      <t>4</t>
    </r>
    <r>
      <rPr>
        <sz val="11"/>
        <color theme="1"/>
        <rFont val="Calibri"/>
        <family val="2"/>
        <scheme val="minor"/>
      </rPr>
      <t>-N/l</t>
    </r>
  </si>
  <si>
    <t>kwaliteit aanvoerwater</t>
  </si>
  <si>
    <t>morfologie watersysteem</t>
  </si>
  <si>
    <t>hydrologie</t>
  </si>
  <si>
    <t>reaëratie</t>
  </si>
  <si>
    <t>stilstaand</t>
  </si>
  <si>
    <t>stromend</t>
  </si>
  <si>
    <t>2. geisoleerd, + onverhard ca. 20% water</t>
  </si>
  <si>
    <t>3. polder circa 5% open water</t>
  </si>
  <si>
    <t>4. polder circa 2% open water</t>
  </si>
  <si>
    <t>Rekenvelden en parameters</t>
  </si>
  <si>
    <t>Rekenhulp wateraanvoer</t>
  </si>
  <si>
    <t>OPTIE 1: wateraanvoer in mm/dag</t>
  </si>
  <si>
    <t>Invoer: kenmerken</t>
  </si>
  <si>
    <t>wateraanvoer (mm/dag)</t>
  </si>
  <si>
    <t>Output: kopieer en plak de output in de cellen achter 'wateraanvoer (m3/dag)' in het invulblad met plakken speciaal --&gt; alleen waarden.</t>
  </si>
  <si>
    <t>OPTIE 3: schatting op basis kenmerken watersysteem</t>
  </si>
  <si>
    <t>Invoer: kenmerken algemeen</t>
  </si>
  <si>
    <t>kenmerken omgeving watersysteem</t>
  </si>
  <si>
    <t>kenmerken achterliggend watersysteem</t>
  </si>
  <si>
    <t>correctiefactoren verdamping</t>
  </si>
  <si>
    <t>deelberekeningen optie 3</t>
  </si>
  <si>
    <t>neerslag direct</t>
  </si>
  <si>
    <t>neerslag via onverhard</t>
  </si>
  <si>
    <t>totaal: aanvoer in mm/dag</t>
  </si>
  <si>
    <t>stroomsnelheid (cm/s)</t>
  </si>
  <si>
    <r>
      <t>wateroppervlak (m</t>
    </r>
    <r>
      <rPr>
        <vertAlign val="superscript"/>
        <sz val="12"/>
        <color theme="1"/>
        <rFont val="Calibri"/>
        <family val="2"/>
        <scheme val="minor"/>
      </rPr>
      <t>2</t>
    </r>
    <r>
      <rPr>
        <sz val="12"/>
        <color theme="1"/>
        <rFont val="Calibri"/>
        <family val="2"/>
        <scheme val="minor"/>
      </rPr>
      <t>)</t>
    </r>
  </si>
  <si>
    <r>
      <t>m</t>
    </r>
    <r>
      <rPr>
        <vertAlign val="superscript"/>
        <sz val="12"/>
        <color theme="1"/>
        <rFont val="Calibri"/>
        <family val="2"/>
        <scheme val="minor"/>
      </rPr>
      <t>3</t>
    </r>
    <r>
      <rPr>
        <sz val="12"/>
        <color theme="1"/>
        <rFont val="Calibri"/>
        <family val="2"/>
        <scheme val="minor"/>
      </rPr>
      <t>/dag</t>
    </r>
  </si>
  <si>
    <r>
      <t>natte doorsnede (m</t>
    </r>
    <r>
      <rPr>
        <vertAlign val="superscript"/>
        <sz val="12"/>
        <color theme="1"/>
        <rFont val="Calibri"/>
        <family val="2"/>
        <scheme val="minor"/>
      </rPr>
      <t>2</t>
    </r>
    <r>
      <rPr>
        <sz val="12"/>
        <color theme="1"/>
        <rFont val="Calibri"/>
        <family val="2"/>
        <scheme val="minor"/>
      </rPr>
      <t>)</t>
    </r>
  </si>
  <si>
    <r>
      <t>oppervlak rechtstreekse afvoer onverhard (m</t>
    </r>
    <r>
      <rPr>
        <vertAlign val="superscript"/>
        <sz val="12"/>
        <color theme="1"/>
        <rFont val="Calibri"/>
        <family val="2"/>
        <scheme val="minor"/>
      </rPr>
      <t>2</t>
    </r>
    <r>
      <rPr>
        <sz val="12"/>
        <color theme="1"/>
        <rFont val="Calibri"/>
        <family val="2"/>
        <scheme val="minor"/>
      </rPr>
      <t>)</t>
    </r>
  </si>
  <si>
    <r>
      <t>oppervlak achterliggend systeem (m</t>
    </r>
    <r>
      <rPr>
        <vertAlign val="superscript"/>
        <sz val="12"/>
        <color theme="1"/>
        <rFont val="Calibri"/>
        <family val="2"/>
        <scheme val="minor"/>
      </rPr>
      <t>2</t>
    </r>
    <r>
      <rPr>
        <sz val="12"/>
        <color theme="1"/>
        <rFont val="Calibri"/>
        <family val="2"/>
        <scheme val="minor"/>
      </rPr>
      <t>)</t>
    </r>
  </si>
  <si>
    <t>OPTIE 2: stroomsnelheid in cm/s</t>
  </si>
  <si>
    <r>
      <rPr>
        <vertAlign val="superscript"/>
        <sz val="11"/>
        <color theme="1"/>
        <rFont val="Calibri"/>
        <family val="2"/>
        <scheme val="minor"/>
      </rPr>
      <t>o</t>
    </r>
    <r>
      <rPr>
        <sz val="11"/>
        <color theme="1"/>
        <rFont val="Calibri"/>
        <family val="2"/>
        <scheme val="minor"/>
      </rPr>
      <t>C</t>
    </r>
  </si>
  <si>
    <r>
      <t xml:space="preserve">1 - 30 </t>
    </r>
    <r>
      <rPr>
        <vertAlign val="superscript"/>
        <sz val="11"/>
        <color theme="1"/>
        <rFont val="Calibri"/>
        <family val="2"/>
        <scheme val="minor"/>
      </rPr>
      <t>o</t>
    </r>
    <r>
      <rPr>
        <sz val="11"/>
        <color theme="1"/>
        <rFont val="Calibri"/>
        <family val="2"/>
        <scheme val="minor"/>
      </rPr>
      <t xml:space="preserve">C, default = 20 </t>
    </r>
    <r>
      <rPr>
        <vertAlign val="superscript"/>
        <sz val="11"/>
        <color theme="1"/>
        <rFont val="Calibri"/>
        <family val="2"/>
        <scheme val="minor"/>
      </rPr>
      <t>o</t>
    </r>
    <r>
      <rPr>
        <sz val="11"/>
        <color theme="1"/>
        <rFont val="Calibri"/>
        <family val="2"/>
        <scheme val="minor"/>
      </rPr>
      <t>C</t>
    </r>
  </si>
  <si>
    <t>wateraanvoer o.b.v. balans of rekenhulp</t>
  </si>
  <si>
    <r>
      <t>gO</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2</t>
    </r>
    <r>
      <rPr>
        <sz val="11"/>
        <color theme="1"/>
        <rFont val="Calibri"/>
        <family val="2"/>
        <scheme val="minor"/>
      </rPr>
      <t>/dag</t>
    </r>
  </si>
  <si>
    <t>gemiddelde aanvoer per dag</t>
  </si>
  <si>
    <t>Door gebruiker aan te passen kentallen (hiermee wordt gerekend)</t>
  </si>
  <si>
    <r>
      <t>m</t>
    </r>
    <r>
      <rPr>
        <sz val="11"/>
        <color theme="1"/>
        <rFont val="Calibri"/>
        <family val="2"/>
        <scheme val="minor"/>
      </rPr>
      <t>/d</t>
    </r>
  </si>
  <si>
    <t>reaëratieconstante</t>
  </si>
  <si>
    <t>zuurstofvraag sediment</t>
  </si>
  <si>
    <t>ter vergelijking, zie toelichting</t>
  </si>
  <si>
    <t>SZV veldwaarnemingen</t>
  </si>
  <si>
    <t>toestand</t>
  </si>
  <si>
    <t>kwaliteit - oppervlaktewater</t>
  </si>
  <si>
    <t>zuurstofgehalte oppervlaktewater</t>
  </si>
  <si>
    <t>ammoniumgehalte oppervlaktewater</t>
  </si>
  <si>
    <t>BZV-gehalte oppervlaktewater</t>
  </si>
  <si>
    <t>kwaliteit - zuurstofvraag sediment</t>
  </si>
  <si>
    <t>resultaat deelberekeningen morfologie</t>
  </si>
  <si>
    <t>resultaat deelberekeningen hydrologie</t>
  </si>
  <si>
    <t>resultaat deelberekeningen reaëratie</t>
  </si>
  <si>
    <t>1=lijn of rechthoek 2=rond of ovaal</t>
  </si>
  <si>
    <t>schatting water(aanvoer)type</t>
  </si>
  <si>
    <t>herkomst waarde</t>
  </si>
  <si>
    <t>T</t>
  </si>
  <si>
    <t>temperatuur</t>
  </si>
  <si>
    <t>opgegeven door gebruiker</t>
  </si>
  <si>
    <r>
      <rPr>
        <vertAlign val="superscript"/>
        <sz val="10"/>
        <color theme="1"/>
        <rFont val="Calibri"/>
        <family val="2"/>
        <scheme val="minor"/>
      </rPr>
      <t>o</t>
    </r>
    <r>
      <rPr>
        <sz val="10"/>
        <color theme="1"/>
        <rFont val="Calibri"/>
        <family val="2"/>
        <scheme val="minor"/>
      </rPr>
      <t>C</t>
    </r>
  </si>
  <si>
    <r>
      <t>k</t>
    </r>
    <r>
      <rPr>
        <vertAlign val="subscript"/>
        <sz val="10"/>
        <color theme="1"/>
        <rFont val="Calibri"/>
        <family val="2"/>
        <scheme val="minor"/>
      </rPr>
      <t>BZV</t>
    </r>
  </si>
  <si>
    <r>
      <t>k</t>
    </r>
    <r>
      <rPr>
        <vertAlign val="subscript"/>
        <sz val="10"/>
        <color theme="1"/>
        <rFont val="Calibri"/>
        <family val="2"/>
        <scheme val="minor"/>
      </rPr>
      <t>Nit</t>
    </r>
  </si>
  <si>
    <r>
      <t xml:space="preserve">default TEWOR (bij 20 </t>
    </r>
    <r>
      <rPr>
        <vertAlign val="superscript"/>
        <sz val="10"/>
        <color theme="1"/>
        <rFont val="Calibri"/>
        <family val="2"/>
        <scheme val="minor"/>
      </rPr>
      <t>o</t>
    </r>
    <r>
      <rPr>
        <sz val="10"/>
        <color theme="1"/>
        <rFont val="Calibri"/>
        <family val="2"/>
        <scheme val="minor"/>
      </rPr>
      <t>C)</t>
    </r>
  </si>
  <si>
    <t>minimumwaarde voor stromende wateren volgens San Diego Stat univ.</t>
  </si>
  <si>
    <t>-</t>
  </si>
  <si>
    <r>
      <t>TK</t>
    </r>
    <r>
      <rPr>
        <vertAlign val="subscript"/>
        <sz val="10"/>
        <color theme="1"/>
        <rFont val="Calibri"/>
        <family val="2"/>
        <scheme val="minor"/>
      </rPr>
      <t>L</t>
    </r>
  </si>
  <si>
    <t>stromend, min</t>
  </si>
  <si>
    <t>TEWOR, default minimale reaëratieconstante (range 0.06 - 1 m/d)</t>
  </si>
  <si>
    <r>
      <t>Duflow, minimumwaarde voor extreme omstandigheden in stagnante wateren (K</t>
    </r>
    <r>
      <rPr>
        <vertAlign val="subscript"/>
        <sz val="10"/>
        <color theme="1"/>
        <rFont val="Calibri"/>
        <family val="2"/>
        <scheme val="minor"/>
      </rPr>
      <t>L</t>
    </r>
    <r>
      <rPr>
        <sz val="10"/>
        <color theme="1"/>
        <rFont val="Calibri"/>
        <family val="2"/>
        <scheme val="minor"/>
      </rPr>
      <t>range 0.1 tot 5 m/d.)</t>
    </r>
  </si>
  <si>
    <t>minimale waarde reaeratieconstanten (m/d)</t>
  </si>
  <si>
    <t>stagnant, lage windinvloed</t>
  </si>
  <si>
    <t>stagnant, matige windinvloed</t>
  </si>
  <si>
    <t>stagnant, hoge windinvloed</t>
  </si>
  <si>
    <r>
      <t>K</t>
    </r>
    <r>
      <rPr>
        <b/>
        <vertAlign val="subscript"/>
        <sz val="10"/>
        <color theme="1"/>
        <rFont val="Calibri"/>
        <family val="2"/>
        <scheme val="minor"/>
      </rPr>
      <t>L</t>
    </r>
    <r>
      <rPr>
        <b/>
        <sz val="10"/>
        <color theme="1"/>
        <rFont val="Calibri"/>
        <family val="2"/>
        <scheme val="minor"/>
      </rPr>
      <t xml:space="preserve"> TEWOR, gecorrigeerd voor temperatuur</t>
    </r>
  </si>
  <si>
    <t>1=laag 2=matig 3=hoog 4=stromend</t>
  </si>
  <si>
    <t>windinvloed (1-3) en stroming</t>
  </si>
  <si>
    <t>watertemperatuur</t>
  </si>
  <si>
    <t>zie toelichting</t>
  </si>
  <si>
    <t>deelberekeningen belasting</t>
  </si>
  <si>
    <t>mgN/l</t>
  </si>
  <si>
    <t>verwachte NH4-N-gehalte</t>
  </si>
  <si>
    <t>deelberekeningen waterkwaliteit</t>
  </si>
  <si>
    <r>
      <t>mgO</t>
    </r>
    <r>
      <rPr>
        <vertAlign val="subscript"/>
        <sz val="11"/>
        <color theme="1"/>
        <rFont val="Calibri"/>
        <family val="2"/>
        <scheme val="minor"/>
      </rPr>
      <t>2</t>
    </r>
    <r>
      <rPr>
        <sz val="11"/>
        <color theme="1"/>
        <rFont val="Calibri"/>
        <family val="2"/>
        <scheme val="minor"/>
      </rPr>
      <t>/l</t>
    </r>
  </si>
  <si>
    <t>belasting watersysteem</t>
  </si>
  <si>
    <t>overstort gemengd stelsel</t>
  </si>
  <si>
    <t>overstort gemengd stelsel+BB-basin</t>
  </si>
  <si>
    <t>DWA-nooduitlaat</t>
  </si>
  <si>
    <r>
      <t>m</t>
    </r>
    <r>
      <rPr>
        <vertAlign val="superscript"/>
        <sz val="10"/>
        <color theme="3" tint="0.39994506668294322"/>
        <rFont val="Calibri"/>
        <family val="2"/>
        <scheme val="minor"/>
      </rPr>
      <t>3</t>
    </r>
  </si>
  <si>
    <r>
      <t>m</t>
    </r>
    <r>
      <rPr>
        <vertAlign val="superscript"/>
        <sz val="11"/>
        <color theme="1"/>
        <rFont val="Calibri"/>
        <family val="2"/>
        <scheme val="minor"/>
      </rPr>
      <t>3</t>
    </r>
    <r>
      <rPr>
        <sz val="11"/>
        <color theme="1"/>
        <rFont val="Calibri"/>
        <family val="2"/>
        <scheme val="minor"/>
      </rPr>
      <t>/jaar</t>
    </r>
  </si>
  <si>
    <r>
      <t>m</t>
    </r>
    <r>
      <rPr>
        <vertAlign val="superscript"/>
        <sz val="11"/>
        <color theme="1"/>
        <rFont val="Calibri"/>
        <family val="2"/>
        <scheme val="minor"/>
      </rPr>
      <t>3</t>
    </r>
    <r>
      <rPr>
        <sz val="11"/>
        <color theme="1"/>
        <rFont val="Calibri"/>
        <family val="2"/>
        <scheme val="minor"/>
      </rPr>
      <t xml:space="preserve"> bij T=1</t>
    </r>
  </si>
  <si>
    <t>Wind&amp;stroming</t>
  </si>
  <si>
    <t>opgegeven door gebruiker (1=laag 2=matig 3=hoog 4=stromend), default = 1</t>
  </si>
  <si>
    <t>windinvloed en stroming tbv bepaling minimale reaeratie</t>
  </si>
  <si>
    <r>
      <t>Tk</t>
    </r>
    <r>
      <rPr>
        <vertAlign val="subscript"/>
        <sz val="10"/>
        <color theme="1"/>
        <rFont val="Calibri"/>
        <family val="2"/>
        <scheme val="minor"/>
      </rPr>
      <t>BZV</t>
    </r>
  </si>
  <si>
    <r>
      <t>Tk</t>
    </r>
    <r>
      <rPr>
        <vertAlign val="subscript"/>
        <sz val="10"/>
        <color theme="1"/>
        <rFont val="Calibri"/>
        <family val="2"/>
        <scheme val="minor"/>
      </rPr>
      <t>Nit</t>
    </r>
  </si>
  <si>
    <t>temperatuurcoëfficiënt BZV-afbraak (Handleiding Duflow, 1996: range 1.03-1.05)</t>
  </si>
  <si>
    <t>temperatuurcoëfficiënt nitrificatie (Handleiding Duflow, 1996: range 1.05-1.10)</t>
  </si>
  <si>
    <r>
      <t>defaultwaarde afbraakconstante bij 20</t>
    </r>
    <r>
      <rPr>
        <b/>
        <vertAlign val="superscript"/>
        <sz val="10"/>
        <color theme="1"/>
        <rFont val="Calibri"/>
        <family val="2"/>
        <scheme val="minor"/>
      </rPr>
      <t>o</t>
    </r>
    <r>
      <rPr>
        <b/>
        <sz val="10"/>
        <color theme="1"/>
        <rFont val="Calibri"/>
        <family val="2"/>
        <scheme val="minor"/>
      </rPr>
      <t>C</t>
    </r>
  </si>
  <si>
    <t xml:space="preserve">defaultwaarde temperatuurcoëfficient </t>
  </si>
  <si>
    <r>
      <t>k</t>
    </r>
    <r>
      <rPr>
        <vertAlign val="subscript"/>
        <sz val="10"/>
        <color theme="1"/>
        <rFont val="Calibri"/>
        <family val="2"/>
        <scheme val="minor"/>
      </rPr>
      <t>mnit</t>
    </r>
  </si>
  <si>
    <r>
      <t>k</t>
    </r>
    <r>
      <rPr>
        <vertAlign val="subscript"/>
        <sz val="10"/>
        <color theme="1"/>
        <rFont val="Calibri"/>
        <family val="2"/>
        <scheme val="minor"/>
      </rPr>
      <t>mBZV</t>
    </r>
  </si>
  <si>
    <t>defaultwaarde zuurstoflimitatie</t>
  </si>
  <si>
    <t>constante voor zuurstoflimitering op de oxidatie van BZV TEWOR</t>
  </si>
  <si>
    <t>constante voor zuurstoflimitering op de oxidatie van NH4 TEWOR</t>
  </si>
  <si>
    <r>
      <t>O</t>
    </r>
    <r>
      <rPr>
        <vertAlign val="subscript"/>
        <sz val="10"/>
        <color theme="1"/>
        <rFont val="Calibri"/>
        <family val="2"/>
        <scheme val="minor"/>
      </rPr>
      <t>2-min</t>
    </r>
  </si>
  <si>
    <t>mg/l</t>
  </si>
  <si>
    <t>mimimaal toelaatbaar zuurstofgehalte</t>
  </si>
  <si>
    <t>afbraakconstante, gecorrigeerd voor temperatuur en O2-limitatie afbraak bij minimaal toelaatbaar O2-gehalte</t>
  </si>
  <si>
    <t>aanname, inschatting op basis van diverse bronnen</t>
  </si>
  <si>
    <r>
      <t>k</t>
    </r>
    <r>
      <rPr>
        <vertAlign val="subscript"/>
        <sz val="10"/>
        <color theme="1"/>
        <rFont val="Calibri"/>
        <family val="2"/>
        <scheme val="minor"/>
      </rPr>
      <t>BZV-OV</t>
    </r>
  </si>
  <si>
    <r>
      <t>k</t>
    </r>
    <r>
      <rPr>
        <vertAlign val="subscript"/>
        <sz val="10"/>
        <color theme="1"/>
        <rFont val="Calibri"/>
        <family val="2"/>
        <scheme val="minor"/>
      </rPr>
      <t>BZV-REST</t>
    </r>
  </si>
  <si>
    <t>berekend</t>
  </si>
  <si>
    <r>
      <t>k</t>
    </r>
    <r>
      <rPr>
        <vertAlign val="subscript"/>
        <sz val="10"/>
        <color theme="1"/>
        <rFont val="Calibri"/>
        <family val="2"/>
        <scheme val="minor"/>
      </rPr>
      <t>BZVgem</t>
    </r>
  </si>
  <si>
    <r>
      <t>afbraaksnelheidsconstante BZV bij 20</t>
    </r>
    <r>
      <rPr>
        <vertAlign val="superscript"/>
        <sz val="10"/>
        <color theme="1"/>
        <rFont val="Calibri"/>
        <family val="2"/>
        <scheme val="minor"/>
      </rPr>
      <t>o</t>
    </r>
    <r>
      <rPr>
        <sz val="10"/>
        <color theme="1"/>
        <rFont val="Calibri"/>
        <family val="2"/>
        <scheme val="minor"/>
      </rPr>
      <t>C</t>
    </r>
  </si>
  <si>
    <r>
      <t xml:space="preserve">naar fractie "overstort" en "rest" gewogen gemiddelde afbraakconstante bij 20 </t>
    </r>
    <r>
      <rPr>
        <vertAlign val="superscript"/>
        <sz val="10"/>
        <color theme="1"/>
        <rFont val="Calibri"/>
        <family val="2"/>
        <scheme val="minor"/>
      </rPr>
      <t>o</t>
    </r>
    <r>
      <rPr>
        <sz val="10"/>
        <color theme="1"/>
        <rFont val="Calibri"/>
        <family val="2"/>
        <scheme val="minor"/>
      </rPr>
      <t>C</t>
    </r>
  </si>
  <si>
    <t>afbraaksnelheidsconstante BZV (gecorrigeerd voor T en O2)</t>
  </si>
  <si>
    <t>afbraaksnelheidsconstante NH4 (gecorrigeerd voor T en O2)</t>
  </si>
  <si>
    <r>
      <t>K</t>
    </r>
    <r>
      <rPr>
        <vertAlign val="subscript"/>
        <sz val="10"/>
        <color theme="1"/>
        <rFont val="Calibri"/>
        <family val="2"/>
        <scheme val="minor"/>
      </rPr>
      <t xml:space="preserve">L </t>
    </r>
    <r>
      <rPr>
        <sz val="10"/>
        <color theme="1"/>
        <rFont val="Calibri"/>
        <family val="2"/>
        <scheme val="minor"/>
      </rPr>
      <t>TEWOR, minimumwaarde obv windinvloed en stroming</t>
    </r>
  </si>
  <si>
    <r>
      <t>K</t>
    </r>
    <r>
      <rPr>
        <vertAlign val="subscript"/>
        <sz val="10"/>
        <color theme="1"/>
        <rFont val="Calibri"/>
        <family val="2"/>
        <scheme val="minor"/>
      </rPr>
      <t xml:space="preserve">L </t>
    </r>
    <r>
      <rPr>
        <sz val="10"/>
        <color theme="1"/>
        <rFont val="Calibri"/>
        <family val="2"/>
        <scheme val="minor"/>
      </rPr>
      <t>TEWOR, zonder drijflagen (minimumwaarde obv windinvloed en stroming)</t>
    </r>
  </si>
  <si>
    <t>TEWOR hanteert verschillende waarden voor de afbraakconstante van BZV per bron: 0.1 voor BZV-achtergrond - 0.6 voor overstortwater. Hier gekozen voor 0.2 als minimumwaarde</t>
  </si>
  <si>
    <t>Temperatuurcoefficient stofoverdracht zuurstof TEWOR</t>
  </si>
  <si>
    <r>
      <t>M</t>
    </r>
    <r>
      <rPr>
        <vertAlign val="subscript"/>
        <sz val="10"/>
        <color theme="1"/>
        <rFont val="Calibri"/>
        <family val="2"/>
        <scheme val="minor"/>
      </rPr>
      <t>BZV-stationair</t>
    </r>
  </si>
  <si>
    <t>stationaire belasting BZV</t>
  </si>
  <si>
    <t>totale belasting BZV (stationair+piek)</t>
  </si>
  <si>
    <t>totale belasting ammonium (stationair+piek)</t>
  </si>
  <si>
    <t>stationaire belasting ammonium</t>
  </si>
  <si>
    <t>stationaire belasting met ammonium</t>
  </si>
  <si>
    <r>
      <t>M</t>
    </r>
    <r>
      <rPr>
        <vertAlign val="subscript"/>
        <sz val="10"/>
        <color theme="1"/>
        <rFont val="Calibri"/>
        <family val="2"/>
        <scheme val="minor"/>
      </rPr>
      <t>NH4-stationair</t>
    </r>
  </si>
  <si>
    <r>
      <t>f</t>
    </r>
    <r>
      <rPr>
        <vertAlign val="subscript"/>
        <sz val="10"/>
        <color theme="1"/>
        <rFont val="Calibri"/>
        <family val="2"/>
        <scheme val="minor"/>
      </rPr>
      <t>BZV-OV</t>
    </r>
  </si>
  <si>
    <r>
      <t>f</t>
    </r>
    <r>
      <rPr>
        <vertAlign val="subscript"/>
        <sz val="10"/>
        <color theme="1"/>
        <rFont val="Calibri"/>
        <family val="2"/>
        <scheme val="minor"/>
      </rPr>
      <t>NH4-OV</t>
    </r>
  </si>
  <si>
    <t>fractie BZV-overstortwater in totale BZV-belasting</t>
  </si>
  <si>
    <t>fractie NH4-overstortwater in totale NH4-belasting</t>
  </si>
  <si>
    <t>berekend uit belasting, indicatief: 0.1 = schone bodem, 0.5 = licht verontreinigd, 1-2 = dikke sliblaag 4 = bladval/nabij overstort</t>
  </si>
  <si>
    <t>BZV (mg/l) na piekbelasting T=1</t>
  </si>
  <si>
    <t>NH4 (mgN/l) na piekbelasting T=1</t>
  </si>
  <si>
    <t>debiet piekbronnen</t>
  </si>
  <si>
    <t>debiet stationaire bronnen</t>
  </si>
  <si>
    <t>debiet vanuit piekbronnen</t>
  </si>
  <si>
    <t>debiet vanuit stationaire bronnen</t>
  </si>
  <si>
    <r>
      <t>- Q</t>
    </r>
    <r>
      <rPr>
        <i/>
        <vertAlign val="subscript"/>
        <sz val="10"/>
        <color theme="1" tint="0.499984740745262"/>
        <rFont val="Calibri"/>
        <family val="2"/>
        <scheme val="minor"/>
      </rPr>
      <t>bron-piek</t>
    </r>
  </si>
  <si>
    <r>
      <t>- Q</t>
    </r>
    <r>
      <rPr>
        <i/>
        <vertAlign val="subscript"/>
        <sz val="10"/>
        <color theme="1" tint="0.499984740745262"/>
        <rFont val="Calibri"/>
        <family val="2"/>
        <scheme val="minor"/>
      </rPr>
      <t>bron-stationair</t>
    </r>
  </si>
  <si>
    <t>som van doorspoeldebiet en debiet vanuit stationaire bronnen</t>
  </si>
  <si>
    <t>BZV (mg/l) gemiddeld</t>
  </si>
  <si>
    <t>NH4 (mgN/l) gemiddeld</t>
  </si>
  <si>
    <r>
      <t>O</t>
    </r>
    <r>
      <rPr>
        <vertAlign val="subscript"/>
        <sz val="10"/>
        <color theme="1"/>
        <rFont val="Calibri"/>
        <family val="2"/>
        <scheme val="minor"/>
      </rPr>
      <t>2</t>
    </r>
    <r>
      <rPr>
        <sz val="10"/>
        <color theme="1"/>
        <rFont val="Calibri"/>
        <family val="2"/>
        <scheme val="minor"/>
      </rPr>
      <t xml:space="preserve"> stationair + overstort + drijflagen</t>
    </r>
  </si>
  <si>
    <r>
      <t>O</t>
    </r>
    <r>
      <rPr>
        <vertAlign val="subscript"/>
        <sz val="10"/>
        <color theme="1"/>
        <rFont val="Calibri"/>
        <family val="2"/>
        <scheme val="minor"/>
      </rPr>
      <t>2</t>
    </r>
    <r>
      <rPr>
        <sz val="10"/>
        <color theme="1"/>
        <rFont val="Calibri"/>
        <family val="2"/>
        <scheme val="minor"/>
      </rPr>
      <t xml:space="preserve"> stationair + drijflagen</t>
    </r>
  </si>
  <si>
    <r>
      <t>O</t>
    </r>
    <r>
      <rPr>
        <vertAlign val="subscript"/>
        <sz val="10"/>
        <color theme="1"/>
        <rFont val="Calibri"/>
        <family val="2"/>
        <scheme val="minor"/>
      </rPr>
      <t>2</t>
    </r>
    <r>
      <rPr>
        <sz val="10"/>
        <color theme="1"/>
        <rFont val="Calibri"/>
        <family val="2"/>
        <scheme val="minor"/>
      </rPr>
      <t xml:space="preserve"> stationair</t>
    </r>
  </si>
  <si>
    <t>stationair</t>
  </si>
  <si>
    <t>na overstort</t>
  </si>
  <si>
    <r>
      <t>mg</t>
    </r>
    <r>
      <rPr>
        <sz val="11"/>
        <color theme="1"/>
        <rFont val="Calibri"/>
        <family val="2"/>
        <scheme val="minor"/>
      </rPr>
      <t>/l</t>
    </r>
  </si>
  <si>
    <t>uit invulblad: debiet piekbronnen (overstorten) in m3/dag</t>
  </si>
  <si>
    <t>uit invulblad: debiet stationaire bronnen (incl. jaarvracht overstorten) in m3/dag</t>
  </si>
  <si>
    <t>zuurstofgehalte-gemeten</t>
  </si>
  <si>
    <t>NH4-N-gehalte-gemeten</t>
  </si>
  <si>
    <t>BZV-gehalte-gemeten</t>
  </si>
  <si>
    <t>+ overstort</t>
  </si>
  <si>
    <t>BZV5-gehalte-stationair</t>
  </si>
  <si>
    <t>NH4-N-gehalte-stationair</t>
  </si>
  <si>
    <t>zuurstofgehalte-stationair</t>
  </si>
  <si>
    <t>zuurstofvraag sediment-gemeten</t>
  </si>
  <si>
    <t>NH4 in gN per eenheid per dag</t>
  </si>
  <si>
    <t>sedimentatiesnelheid grove fractie (m/d)</t>
  </si>
  <si>
    <t>sedimentatie</t>
  </si>
  <si>
    <t>nvt</t>
  </si>
  <si>
    <t>bronnen --&gt; BZV-fijne fractie</t>
  </si>
  <si>
    <r>
      <t>bronnen --&gt; NH</t>
    </r>
    <r>
      <rPr>
        <vertAlign val="subscript"/>
        <sz val="11"/>
        <color theme="1"/>
        <rFont val="Calibri"/>
        <family val="2"/>
        <scheme val="minor"/>
      </rPr>
      <t>4</t>
    </r>
    <r>
      <rPr>
        <sz val="11"/>
        <color theme="1"/>
        <rFont val="Calibri"/>
        <family val="2"/>
        <scheme val="minor"/>
      </rPr>
      <t>-N</t>
    </r>
  </si>
  <si>
    <r>
      <t>gBZV/m</t>
    </r>
    <r>
      <rPr>
        <vertAlign val="superscript"/>
        <sz val="11"/>
        <color theme="1"/>
        <rFont val="Calibri"/>
        <family val="2"/>
        <scheme val="minor"/>
      </rPr>
      <t>2</t>
    </r>
    <r>
      <rPr>
        <sz val="11"/>
        <color theme="1"/>
        <rFont val="Calibri"/>
        <family val="2"/>
        <scheme val="minor"/>
      </rPr>
      <t>/dag</t>
    </r>
  </si>
  <si>
    <r>
      <t>gBZV</t>
    </r>
    <r>
      <rPr>
        <sz val="11"/>
        <color theme="1"/>
        <rFont val="Calibri"/>
        <family val="2"/>
        <scheme val="minor"/>
      </rPr>
      <t>/m</t>
    </r>
    <r>
      <rPr>
        <vertAlign val="superscript"/>
        <sz val="11"/>
        <color theme="1"/>
        <rFont val="Calibri"/>
        <family val="2"/>
        <scheme val="minor"/>
      </rPr>
      <t>2</t>
    </r>
    <r>
      <rPr>
        <sz val="11"/>
        <color theme="1"/>
        <rFont val="Calibri"/>
        <family val="2"/>
        <scheme val="minor"/>
      </rPr>
      <t>/dag</t>
    </r>
  </si>
  <si>
    <r>
      <t>g</t>
    </r>
    <r>
      <rPr>
        <sz val="11"/>
        <color theme="1"/>
        <rFont val="Calibri"/>
        <family val="2"/>
        <scheme val="minor"/>
      </rPr>
      <t>N /m</t>
    </r>
    <r>
      <rPr>
        <vertAlign val="superscript"/>
        <sz val="11"/>
        <color theme="1"/>
        <rFont val="Calibri"/>
        <family val="2"/>
        <scheme val="minor"/>
      </rPr>
      <t>2</t>
    </r>
    <r>
      <rPr>
        <sz val="11"/>
        <color theme="1"/>
        <rFont val="Calibri"/>
        <family val="2"/>
        <scheme val="minor"/>
      </rPr>
      <t>/dag</t>
    </r>
  </si>
  <si>
    <t>sedimentatiesnelheid grove fractie BZV</t>
  </si>
  <si>
    <t>bronnen --&gt; BZV-grove fractie</t>
  </si>
  <si>
    <t>(0-1)</t>
  </si>
  <si>
    <t>deelberekeningen sedimentzuurstofverbruik</t>
  </si>
  <si>
    <t>deel grove fractie bezonken</t>
  </si>
  <si>
    <t>SZV door bezinking grove fractie</t>
  </si>
  <si>
    <t>OXY-VAL V1.0</t>
  </si>
  <si>
    <t>OPTIE 4: grove schatting op basis van water(aanvoer)type</t>
  </si>
  <si>
    <r>
      <t>Naam watersysteem en minimum toelaatbaar O</t>
    </r>
    <r>
      <rPr>
        <b/>
        <vertAlign val="subscript"/>
        <sz val="11"/>
        <color theme="1"/>
        <rFont val="Calibri"/>
        <family val="2"/>
        <scheme val="minor"/>
      </rPr>
      <t>2</t>
    </r>
    <r>
      <rPr>
        <b/>
        <sz val="11"/>
        <color theme="1"/>
        <rFont val="Calibri"/>
        <family val="2"/>
        <scheme val="minor"/>
      </rPr>
      <t>-gehalte (als gevolg van organische belasting)</t>
    </r>
  </si>
  <si>
    <r>
      <t>directe O</t>
    </r>
    <r>
      <rPr>
        <vertAlign val="subscript"/>
        <sz val="11"/>
        <color theme="1"/>
        <rFont val="Calibri"/>
        <family val="2"/>
        <scheme val="minor"/>
      </rPr>
      <t>2</t>
    </r>
    <r>
      <rPr>
        <sz val="11"/>
        <color theme="1"/>
        <rFont val="Calibri"/>
        <family val="2"/>
        <scheme val="minor"/>
      </rPr>
      <t>-vraag bij T=1, zie opm</t>
    </r>
  </si>
  <si>
    <t>SZV o.b.v. jaarvracht, zie opm</t>
  </si>
  <si>
    <t>verwachte BZV-gehalte</t>
  </si>
  <si>
    <t>Defaultwaarden (zie achtergronddocument: Quick scan en globale analyse)</t>
  </si>
  <si>
    <t>kies hier het laagst toelaatbare zuurstofgehalte in mg/l (default = 5 mg/l)-------&gt;</t>
  </si>
  <si>
    <t>optioneel, ipv lengte en type</t>
  </si>
  <si>
    <r>
      <t>belasting BZV + NH4 (gO</t>
    </r>
    <r>
      <rPr>
        <vertAlign val="subscript"/>
        <sz val="10"/>
        <color theme="1"/>
        <rFont val="Calibri"/>
        <family val="2"/>
        <scheme val="minor"/>
      </rPr>
      <t>2</t>
    </r>
    <r>
      <rPr>
        <sz val="10"/>
        <color theme="1"/>
        <rFont val="Calibri"/>
        <family val="2"/>
        <scheme val="minor"/>
      </rPr>
      <t>/m</t>
    </r>
    <r>
      <rPr>
        <vertAlign val="superscript"/>
        <sz val="10"/>
        <color theme="1"/>
        <rFont val="Calibri"/>
        <family val="2"/>
        <scheme val="minor"/>
      </rPr>
      <t>2</t>
    </r>
    <r>
      <rPr>
        <sz val="10"/>
        <color theme="1"/>
        <rFont val="Calibri"/>
        <family val="2"/>
        <scheme val="minor"/>
      </rPr>
      <t xml:space="preserve">/d) </t>
    </r>
  </si>
  <si>
    <t>Naam watersysteem en minimum toelaatbaar O2-gehalte (als gevolg van organische belasting)</t>
  </si>
  <si>
    <t>BZV-fijne fractie in gO2 per eenheid per dag</t>
  </si>
  <si>
    <t>BZV-grove fracte in gO2 per eenheid per dag</t>
  </si>
  <si>
    <t>m3 bij T=1</t>
  </si>
  <si>
    <t>directe O2-vraag bij T=1, zie opm</t>
  </si>
  <si>
    <t>m3/jaar</t>
  </si>
  <si>
    <t>m2 boomkruin</t>
  </si>
  <si>
    <t>aantal m2 landbouwgrond</t>
  </si>
  <si>
    <t>gBZV/m2/dag</t>
  </si>
  <si>
    <t>bronnen --&gt; NH4-N</t>
  </si>
  <si>
    <t>gN /m2/dag</t>
  </si>
  <si>
    <t>m2</t>
  </si>
  <si>
    <t>gebruikte wateraanvoer voor berekening</t>
  </si>
  <si>
    <t>150 mm/dag</t>
  </si>
  <si>
    <t>75 mm/dag</t>
  </si>
  <si>
    <t>20 mm/dag</t>
  </si>
  <si>
    <t>6 mm/dag</t>
  </si>
  <si>
    <t>oC</t>
  </si>
  <si>
    <t>1 - 30 oC, default = 20 oC</t>
  </si>
  <si>
    <t>mgO2/l</t>
  </si>
  <si>
    <t>mgNH4-N/l</t>
  </si>
  <si>
    <t/>
  </si>
  <si>
    <t>belasting (per m2)--&gt;</t>
  </si>
  <si>
    <t>overstort gemengd stelsel BZV=40</t>
  </si>
  <si>
    <t>overstort gemengd stelsel BZV=82</t>
  </si>
  <si>
    <t>overstort gemengd stelsel BZV=124</t>
  </si>
  <si>
    <t>water_4</t>
  </si>
  <si>
    <t>water_5</t>
  </si>
  <si>
    <t>water_6</t>
  </si>
  <si>
    <t>water_7</t>
  </si>
  <si>
    <t>water_8</t>
  </si>
  <si>
    <t>water_9</t>
  </si>
  <si>
    <t>water_10</t>
  </si>
  <si>
    <t>water_11</t>
  </si>
  <si>
    <t>water_12</t>
  </si>
  <si>
    <t>Voorbeeld</t>
  </si>
  <si>
    <t>water_2</t>
  </si>
  <si>
    <t>water_3</t>
  </si>
  <si>
    <r>
      <t>K</t>
    </r>
    <r>
      <rPr>
        <vertAlign val="subscript"/>
        <sz val="10"/>
        <color theme="1"/>
        <rFont val="Calibri"/>
        <family val="2"/>
        <scheme val="minor"/>
      </rPr>
      <t>L</t>
    </r>
    <r>
      <rPr>
        <sz val="10"/>
        <color theme="1"/>
        <rFont val="Calibri"/>
        <family val="2"/>
        <scheme val="minor"/>
      </rPr>
      <t xml:space="preserve"> TEWOR, gecorrigeerd voor drijflagen (kroos / vuil) (minimumwaarde = 0.05)</t>
    </r>
  </si>
  <si>
    <t>NB! Pas na invoer van de morfologie van het watersysteem wordt de belasting berekend</t>
  </si>
  <si>
    <r>
      <t xml:space="preserve">In kolom Q en R staan 2 formules uit DELWAQ. Deze kunnen worden bereken voor verschillende chloridegehalten, door het chloridegehalte in cel T6 aan te passen. </t>
    </r>
    <r>
      <rPr>
        <b/>
        <sz val="11"/>
        <color theme="1"/>
        <rFont val="Calibri"/>
        <family val="2"/>
        <scheme val="minor"/>
      </rPr>
      <t>NB!! OXY-VAL rekent hier niet mee.</t>
    </r>
    <r>
      <rPr>
        <sz val="11"/>
        <color theme="1"/>
        <rFont val="Calibri"/>
        <family val="2"/>
        <scheme val="minor"/>
      </rPr>
      <t xml:space="preserve"> Dit is alleen bedoeld om een gevoel te krijgen voor het effect van het zoutgehalte op de O2-verzadiging</t>
    </r>
  </si>
  <si>
    <t>TOELICHTING</t>
  </si>
  <si>
    <t>In dit tabblad staan verschillende formules om de zuurstofverzadiging te berekenen, deze zijn afkomstig uit de handleidingen van Duflow en Delft 3D (DELWAQ). De verzadiging is afhankelijk van temperatuur en zoutgehalte (saliniteit).</t>
  </si>
  <si>
    <t>In OXY_VAL wordt de relatie in kolom O gebruikt, die afkomstig is van de DUFLOW-handleiding en alleen afhankelijk is van de temperatuur. De overige relaties zijn echter ook uitgewerkt, waarbij de relatie met temperatuur en zout uit DUFLOW niet lijkt te kloppen (kolom P).</t>
  </si>
  <si>
    <t>deelberekeningen belasting externe bronnen (zonder aanvoerwater)</t>
  </si>
  <si>
    <t>totale belasting met BZV vanuit externe bronnen (excl. aanvoerwater)</t>
  </si>
  <si>
    <t>stationaire belasting met BZV vanuit externe bronnen (excl. aanvoerwater)</t>
  </si>
  <si>
    <t>zuurstofgehalte afvalwater (mg/l)</t>
  </si>
  <si>
    <t>gemiddelde zuurstofgehalte in afvalwater (naar debiet gewogen gemiddelde O2-gehalte uit kentallentabel)</t>
  </si>
  <si>
    <t>kental snel afbreekbare BZV-fractie (BZV5)</t>
  </si>
  <si>
    <r>
      <t>BZV-</t>
    </r>
    <r>
      <rPr>
        <b/>
        <i/>
        <sz val="10"/>
        <color theme="3" tint="0.39991454817346722"/>
        <rFont val="Calibri"/>
        <family val="2"/>
        <scheme val="minor"/>
      </rPr>
      <t>langzaam afbreekbare fractie</t>
    </r>
    <r>
      <rPr>
        <b/>
        <i/>
        <sz val="10"/>
        <color theme="3" tint="0.39997558519241921"/>
        <rFont val="Calibri"/>
        <family val="2"/>
        <scheme val="minor"/>
      </rPr>
      <t xml:space="preserve"> in gO</t>
    </r>
    <r>
      <rPr>
        <b/>
        <i/>
        <vertAlign val="subscript"/>
        <sz val="10"/>
        <color theme="3" tint="0.39994506668294322"/>
        <rFont val="Calibri"/>
        <family val="2"/>
        <scheme val="minor"/>
      </rPr>
      <t>2</t>
    </r>
    <r>
      <rPr>
        <b/>
        <i/>
        <sz val="10"/>
        <color theme="3" tint="0.39997558519241921"/>
        <rFont val="Calibri"/>
        <family val="2"/>
        <scheme val="minor"/>
      </rPr>
      <t xml:space="preserve"> per eenheid per dag</t>
    </r>
  </si>
  <si>
    <r>
      <t>BZV-snel afbreekbare fractie in gO</t>
    </r>
    <r>
      <rPr>
        <b/>
        <i/>
        <vertAlign val="subscript"/>
        <sz val="10"/>
        <color theme="3" tint="0.39994506668294322"/>
        <rFont val="Calibri"/>
        <family val="2"/>
        <scheme val="minor"/>
      </rPr>
      <t>2</t>
    </r>
    <r>
      <rPr>
        <b/>
        <i/>
        <sz val="10"/>
        <color theme="3" tint="0.39997558519241921"/>
        <rFont val="Calibri"/>
        <family val="2"/>
        <scheme val="minor"/>
      </rPr>
      <t xml:space="preserve"> per eenheid per dag</t>
    </r>
  </si>
  <si>
    <t>sedimentatiesnelheid langzaam afbreekbare fractie (m/d)</t>
  </si>
  <si>
    <r>
      <t>kental BZV oneindig (BZV</t>
    </r>
    <r>
      <rPr>
        <b/>
        <i/>
        <vertAlign val="subscript"/>
        <sz val="10"/>
        <color theme="3" tint="0.39994506668294322"/>
        <rFont val="Calibri"/>
        <family val="2"/>
        <scheme val="minor"/>
      </rPr>
      <t>u</t>
    </r>
    <r>
      <rPr>
        <b/>
        <i/>
        <sz val="10"/>
        <color theme="3" tint="0.39991454817346722"/>
        <rFont val="Calibri"/>
        <family val="2"/>
        <scheme val="minor"/>
      </rPr>
      <t>)</t>
    </r>
  </si>
  <si>
    <t>n.v.t.</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</si>
</sst>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
    <numFmt numFmtId="166" formatCode="0.00000"/>
    <numFmt numFmtId="167" formatCode="0.0000"/>
  </numFmts>
  <fonts count="80" x14ac:knownFonts="1">
    <font>
      <sz val="11"/>
      <color theme="1"/>
      <name val="Calibri"/>
      <family val="2"/>
      <scheme val="minor"/>
    </font>
    <font>
      <sz val="11"/>
      <color rgb="FFFF0000"/>
      <name val="Calibri"/>
      <family val="2"/>
      <scheme val="minor"/>
    </font>
    <font>
      <b/>
      <sz val="11"/>
      <color theme="1"/>
      <name val="Calibri"/>
      <family val="2"/>
      <scheme val="minor"/>
    </font>
    <font>
      <b/>
      <i/>
      <sz val="11"/>
      <color theme="1"/>
      <name val="Calibri"/>
      <family val="2"/>
      <scheme val="minor"/>
    </font>
    <font>
      <vertAlign val="subscript"/>
      <sz val="11"/>
      <color theme="1"/>
      <name val="Calibri"/>
      <family val="2"/>
      <scheme val="minor"/>
    </font>
    <font>
      <b/>
      <sz val="11"/>
      <color rgb="FFFF0000"/>
      <name val="Calibri"/>
      <family val="2"/>
      <scheme val="minor"/>
    </font>
    <font>
      <sz val="11"/>
      <color theme="3" tint="0.39997558519241921"/>
      <name val="Calibri"/>
      <family val="2"/>
      <scheme val="minor"/>
    </font>
    <font>
      <b/>
      <sz val="11"/>
      <color theme="3" tint="0.39997558519241921"/>
      <name val="Calibri"/>
      <family val="2"/>
      <scheme val="minor"/>
    </font>
    <font>
      <vertAlign val="superscript"/>
      <sz val="11"/>
      <color theme="1"/>
      <name val="Calibri"/>
      <family val="2"/>
      <scheme val="minor"/>
    </font>
    <font>
      <sz val="9"/>
      <color indexed="81"/>
      <name val="Tahoma"/>
      <family val="2"/>
    </font>
    <font>
      <b/>
      <sz val="9"/>
      <color indexed="81"/>
      <name val="Tahoma"/>
      <family val="2"/>
    </font>
    <font>
      <sz val="11"/>
      <name val="Calibri"/>
      <family val="2"/>
      <scheme val="minor"/>
    </font>
    <font>
      <b/>
      <vertAlign val="subscript"/>
      <sz val="11"/>
      <color theme="1"/>
      <name val="Calibri"/>
      <family val="2"/>
      <scheme val="minor"/>
    </font>
    <font>
      <u/>
      <sz val="9"/>
      <color indexed="81"/>
      <name val="Tahoma"/>
      <family val="2"/>
    </font>
    <font>
      <sz val="10"/>
      <color theme="1"/>
      <name val="Calibri"/>
      <family val="2"/>
      <scheme val="minor"/>
    </font>
    <font>
      <b/>
      <sz val="10"/>
      <color theme="3" tint="0.39997558519241921"/>
      <name val="Calibri"/>
      <family val="2"/>
      <scheme val="minor"/>
    </font>
    <font>
      <b/>
      <i/>
      <sz val="10"/>
      <color theme="3" tint="0.39997558519241921"/>
      <name val="Calibri"/>
      <family val="2"/>
      <scheme val="minor"/>
    </font>
    <font>
      <b/>
      <i/>
      <vertAlign val="subscript"/>
      <sz val="10"/>
      <color theme="3" tint="0.39994506668294322"/>
      <name val="Calibri"/>
      <family val="2"/>
      <scheme val="minor"/>
    </font>
    <font>
      <sz val="10"/>
      <color theme="3" tint="0.39997558519241921"/>
      <name val="Calibri"/>
      <family val="2"/>
      <scheme val="minor"/>
    </font>
    <font>
      <vertAlign val="superscript"/>
      <sz val="10"/>
      <color theme="3" tint="0.39994506668294322"/>
      <name val="Calibri"/>
      <family val="2"/>
      <scheme val="minor"/>
    </font>
    <font>
      <sz val="10"/>
      <color theme="3" tint="0.39991454817346722"/>
      <name val="Calibri"/>
      <family val="2"/>
      <scheme val="minor"/>
    </font>
    <font>
      <b/>
      <sz val="10"/>
      <color theme="1"/>
      <name val="Calibri"/>
      <family val="2"/>
      <scheme val="minor"/>
    </font>
    <font>
      <b/>
      <i/>
      <sz val="10"/>
      <color theme="1"/>
      <name val="Calibri"/>
      <family val="2"/>
      <scheme val="minor"/>
    </font>
    <font>
      <b/>
      <sz val="22"/>
      <color theme="1"/>
      <name val="Calibri"/>
      <family val="2"/>
      <scheme val="minor"/>
    </font>
    <font>
      <vertAlign val="subscript"/>
      <sz val="10"/>
      <color theme="1"/>
      <name val="Calibri"/>
      <family val="2"/>
      <scheme val="minor"/>
    </font>
    <font>
      <b/>
      <i/>
      <sz val="9"/>
      <color indexed="10"/>
      <name val="Tahoma"/>
      <family val="2"/>
    </font>
    <font>
      <b/>
      <i/>
      <sz val="9"/>
      <color indexed="40"/>
      <name val="Tahoma"/>
      <family val="2"/>
    </font>
    <font>
      <b/>
      <i/>
      <sz val="9"/>
      <color indexed="50"/>
      <name val="Tahoma"/>
      <family val="2"/>
    </font>
    <font>
      <b/>
      <i/>
      <sz val="9"/>
      <color indexed="52"/>
      <name val="Tahoma"/>
      <family val="2"/>
    </font>
    <font>
      <b/>
      <i/>
      <sz val="9"/>
      <color indexed="81"/>
      <name val="Tahoma"/>
      <family val="2"/>
    </font>
    <font>
      <sz val="9"/>
      <color theme="1"/>
      <name val="Calibri"/>
      <family val="2"/>
      <scheme val="minor"/>
    </font>
    <font>
      <b/>
      <sz val="9"/>
      <color theme="1"/>
      <name val="Calibri"/>
      <family val="2"/>
      <scheme val="minor"/>
    </font>
    <font>
      <sz val="9"/>
      <color theme="3" tint="0.39997558519241921"/>
      <name val="Calibri"/>
      <family val="2"/>
      <scheme val="minor"/>
    </font>
    <font>
      <b/>
      <vertAlign val="subscript"/>
      <sz val="9"/>
      <color theme="1"/>
      <name val="Calibri"/>
      <family val="2"/>
      <scheme val="minor"/>
    </font>
    <font>
      <b/>
      <sz val="9"/>
      <color rgb="FFFF0000"/>
      <name val="Calibri"/>
      <family val="2"/>
      <scheme val="minor"/>
    </font>
    <font>
      <sz val="9"/>
      <name val="Calibri"/>
      <family val="2"/>
      <scheme val="minor"/>
    </font>
    <font>
      <b/>
      <sz val="9"/>
      <color theme="3" tint="0.39997558519241921"/>
      <name val="Calibri"/>
      <family val="2"/>
      <scheme val="minor"/>
    </font>
    <font>
      <sz val="9"/>
      <color rgb="FFFF0000"/>
      <name val="Calibri"/>
      <family val="2"/>
      <scheme val="minor"/>
    </font>
    <font>
      <b/>
      <i/>
      <sz val="9"/>
      <color theme="1"/>
      <name val="Calibri"/>
      <family val="2"/>
      <scheme val="minor"/>
    </font>
    <font>
      <b/>
      <i/>
      <sz val="9"/>
      <color theme="0" tint="-0.499984740745262"/>
      <name val="Calibri"/>
      <family val="2"/>
      <scheme val="minor"/>
    </font>
    <font>
      <i/>
      <sz val="9"/>
      <color theme="1"/>
      <name val="Calibri"/>
      <family val="2"/>
      <scheme val="minor"/>
    </font>
    <font>
      <i/>
      <sz val="10"/>
      <color theme="1" tint="0.499984740745262"/>
      <name val="Calibri"/>
      <family val="2"/>
      <scheme val="minor"/>
    </font>
    <font>
      <i/>
      <vertAlign val="subscript"/>
      <sz val="10"/>
      <color theme="1" tint="0.499984740745262"/>
      <name val="Calibri"/>
      <family val="2"/>
      <scheme val="minor"/>
    </font>
    <font>
      <u/>
      <sz val="11"/>
      <color theme="10"/>
      <name val="Calibri"/>
      <family val="2"/>
      <scheme val="minor"/>
    </font>
    <font>
      <b/>
      <vertAlign val="superscript"/>
      <sz val="11"/>
      <color theme="1"/>
      <name val="Calibri"/>
      <family val="2"/>
      <scheme val="minor"/>
    </font>
    <font>
      <b/>
      <sz val="10"/>
      <color theme="4"/>
      <name val="Calibri"/>
      <family val="2"/>
      <scheme val="minor"/>
    </font>
    <font>
      <sz val="10"/>
      <color theme="4"/>
      <name val="Calibri"/>
      <family val="2"/>
      <scheme val="minor"/>
    </font>
    <font>
      <vertAlign val="superscript"/>
      <sz val="10"/>
      <color theme="4"/>
      <name val="Calibri"/>
      <family val="2"/>
      <scheme val="minor"/>
    </font>
    <font>
      <b/>
      <sz val="9"/>
      <color indexed="10"/>
      <name val="Tahoma"/>
      <family val="2"/>
    </font>
    <font>
      <b/>
      <sz val="9"/>
      <color indexed="48"/>
      <name val="Tahoma"/>
      <family val="2"/>
    </font>
    <font>
      <b/>
      <sz val="20"/>
      <color theme="1"/>
      <name val="Calibri"/>
      <family val="2"/>
      <scheme val="minor"/>
    </font>
    <font>
      <sz val="11"/>
      <color theme="1"/>
      <name val="Calibri"/>
      <family val="2"/>
      <scheme val="minor"/>
    </font>
    <font>
      <b/>
      <vertAlign val="superscript"/>
      <sz val="9"/>
      <color theme="1"/>
      <name val="Calibri"/>
      <family val="2"/>
      <scheme val="minor"/>
    </font>
    <font>
      <sz val="14"/>
      <color theme="1"/>
      <name val="Calibri"/>
      <family val="2"/>
      <scheme val="minor"/>
    </font>
    <font>
      <sz val="12"/>
      <color indexed="81"/>
      <name val="Tahoma"/>
      <family val="2"/>
    </font>
    <font>
      <b/>
      <sz val="18"/>
      <color theme="8" tint="-0.499984740745262"/>
      <name val="Calibri"/>
      <family val="2"/>
      <scheme val="minor"/>
    </font>
    <font>
      <sz val="18"/>
      <color theme="1"/>
      <name val="Calibri"/>
      <family val="2"/>
      <scheme val="minor"/>
    </font>
    <font>
      <b/>
      <sz val="14"/>
      <color theme="8" tint="-0.499984740745262"/>
      <name val="Calibri"/>
      <family val="2"/>
      <scheme val="minor"/>
    </font>
    <font>
      <sz val="12"/>
      <color theme="1"/>
      <name val="Calibri"/>
      <family val="2"/>
      <scheme val="minor"/>
    </font>
    <font>
      <b/>
      <sz val="12"/>
      <color theme="8" tint="-0.499984740745262"/>
      <name val="Calibri"/>
      <family val="2"/>
      <scheme val="minor"/>
    </font>
    <font>
      <b/>
      <sz val="12"/>
      <color theme="1"/>
      <name val="Calibri"/>
      <family val="2"/>
      <scheme val="minor"/>
    </font>
    <font>
      <vertAlign val="superscript"/>
      <sz val="12"/>
      <color theme="1"/>
      <name val="Calibri"/>
      <family val="2"/>
      <scheme val="minor"/>
    </font>
    <font>
      <b/>
      <sz val="12"/>
      <color indexed="81"/>
      <name val="Tahoma"/>
      <family val="2"/>
    </font>
    <font>
      <b/>
      <sz val="16"/>
      <color theme="1"/>
      <name val="Calibri"/>
      <family val="2"/>
      <scheme val="minor"/>
    </font>
    <font>
      <b/>
      <vertAlign val="subscript"/>
      <sz val="10"/>
      <color theme="1"/>
      <name val="Calibri"/>
      <family val="2"/>
      <scheme val="minor"/>
    </font>
    <font>
      <vertAlign val="superscript"/>
      <sz val="10"/>
      <color theme="1"/>
      <name val="Calibri"/>
      <family val="2"/>
      <scheme val="minor"/>
    </font>
    <font>
      <sz val="16"/>
      <color theme="1"/>
      <name val="Calibri"/>
      <family val="2"/>
      <scheme val="minor"/>
    </font>
    <font>
      <sz val="10"/>
      <color theme="0" tint="-0.499984740745262"/>
      <name val="Calibri"/>
      <family val="2"/>
      <scheme val="minor"/>
    </font>
    <font>
      <b/>
      <vertAlign val="superscript"/>
      <sz val="10"/>
      <color theme="1"/>
      <name val="Calibri"/>
      <family val="2"/>
      <scheme val="minor"/>
    </font>
    <font>
      <b/>
      <i/>
      <sz val="10"/>
      <color theme="3" tint="0.39991454817346722"/>
      <name val="Calibri"/>
      <family val="2"/>
      <scheme val="minor"/>
    </font>
    <font>
      <b/>
      <i/>
      <sz val="16"/>
      <color theme="1"/>
      <name val="Calibri"/>
      <family val="2"/>
      <scheme val="minor"/>
    </font>
    <font>
      <b/>
      <i/>
      <sz val="16"/>
      <color theme="0" tint="-0.499984740745262"/>
      <name val="Calibri"/>
      <family val="2"/>
      <scheme val="minor"/>
    </font>
    <font>
      <b/>
      <sz val="16"/>
      <color theme="0" tint="-0.499984740745262"/>
      <name val="Calibri"/>
      <family val="2"/>
      <scheme val="minor"/>
    </font>
    <font>
      <i/>
      <sz val="16"/>
      <color theme="1"/>
      <name val="Calibri"/>
      <family val="2"/>
      <scheme val="minor"/>
    </font>
    <font>
      <sz val="11"/>
      <color theme="3" tint="0.79998168889431442"/>
      <name val="Calibri"/>
      <family val="2"/>
      <scheme val="minor"/>
    </font>
    <font>
      <i/>
      <sz val="11"/>
      <color theme="3" tint="0.79998168889431442"/>
      <name val="Calibri"/>
      <family val="2"/>
      <scheme val="minor"/>
    </font>
    <font>
      <i/>
      <sz val="9"/>
      <color theme="3" tint="0.79998168889431442"/>
      <name val="Calibri"/>
      <family val="2"/>
      <scheme val="minor"/>
    </font>
    <font>
      <sz val="9"/>
      <color theme="3" tint="0.79998168889431442"/>
      <name val="Calibri"/>
      <family val="2"/>
      <scheme val="minor"/>
    </font>
    <font>
      <b/>
      <sz val="9"/>
      <color theme="0" tint="-0.499984740745262"/>
      <name val="Calibri"/>
      <family val="2"/>
      <scheme val="minor"/>
    </font>
    <font>
      <sz val="9"/>
      <color theme="0" tint="-0.499984740745262"/>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rgb="FFFFFFCC"/>
        <bgColor indexed="64"/>
      </patternFill>
    </fill>
    <fill>
      <patternFill patternType="solid">
        <fgColor theme="0"/>
        <bgColor indexed="64"/>
      </patternFill>
    </fill>
    <fill>
      <patternFill patternType="solid">
        <fgColor theme="5" tint="0.7999816888943144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bottom style="medium">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3">
    <xf numFmtId="0" fontId="0" fillId="0" borderId="0"/>
    <xf numFmtId="0" fontId="43" fillId="0" borderId="0" applyNumberFormat="0" applyFill="0" applyBorder="0" applyAlignment="0" applyProtection="0"/>
    <xf numFmtId="9" fontId="51" fillId="0" borderId="0" applyFont="0" applyFill="0" applyBorder="0" applyAlignment="0" applyProtection="0"/>
  </cellStyleXfs>
  <cellXfs count="776">
    <xf numFmtId="0" fontId="0" fillId="0" borderId="0" xfId="0"/>
    <xf numFmtId="0" fontId="0" fillId="2" borderId="0" xfId="0" applyFill="1"/>
    <xf numFmtId="0" fontId="0" fillId="2" borderId="0" xfId="0" applyFill="1" applyAlignment="1">
      <alignment horizontal="center"/>
    </xf>
    <xf numFmtId="0" fontId="0" fillId="2" borderId="1" xfId="0" applyFill="1" applyBorder="1" applyAlignment="1">
      <alignment horizontal="center"/>
    </xf>
    <xf numFmtId="0" fontId="0" fillId="2" borderId="1" xfId="0" applyFill="1" applyBorder="1" applyAlignment="1">
      <alignment wrapText="1"/>
    </xf>
    <xf numFmtId="1" fontId="0" fillId="2" borderId="1" xfId="0" applyNumberFormat="1" applyFill="1" applyBorder="1" applyAlignment="1">
      <alignment horizontal="center"/>
    </xf>
    <xf numFmtId="0" fontId="0" fillId="2" borderId="0" xfId="0" applyFill="1" applyBorder="1" applyAlignment="1">
      <alignment horizontal="center"/>
    </xf>
    <xf numFmtId="0" fontId="0" fillId="2" borderId="0" xfId="0" applyFill="1" applyBorder="1" applyAlignment="1">
      <alignment wrapText="1"/>
    </xf>
    <xf numFmtId="0" fontId="1" fillId="3" borderId="1" xfId="0" applyFont="1" applyFill="1" applyBorder="1" applyAlignment="1">
      <alignment horizontal="center"/>
    </xf>
    <xf numFmtId="0" fontId="1" fillId="3" borderId="3" xfId="0" applyFont="1" applyFill="1" applyBorder="1" applyAlignment="1">
      <alignment horizontal="center"/>
    </xf>
    <xf numFmtId="0" fontId="2" fillId="2" borderId="0" xfId="0" applyFont="1" applyFill="1" applyBorder="1" applyAlignment="1">
      <alignment horizontal="left"/>
    </xf>
    <xf numFmtId="0" fontId="11" fillId="2" borderId="0" xfId="0" applyFont="1" applyFill="1" applyBorder="1" applyAlignment="1">
      <alignment horizontal="center"/>
    </xf>
    <xf numFmtId="1" fontId="6" fillId="2" borderId="1" xfId="0" applyNumberFormat="1" applyFont="1" applyFill="1" applyBorder="1" applyAlignment="1">
      <alignment horizontal="center" wrapText="1"/>
    </xf>
    <xf numFmtId="0" fontId="6" fillId="2" borderId="0" xfId="0" applyFont="1" applyFill="1" applyBorder="1" applyAlignment="1">
      <alignment horizontal="center" wrapText="1"/>
    </xf>
    <xf numFmtId="0" fontId="2" fillId="2" borderId="0" xfId="0" applyFont="1" applyFill="1" applyBorder="1"/>
    <xf numFmtId="0" fontId="0" fillId="2" borderId="0" xfId="0" applyFill="1" applyBorder="1"/>
    <xf numFmtId="1" fontId="6" fillId="2" borderId="0" xfId="0" applyNumberFormat="1" applyFont="1" applyFill="1" applyBorder="1" applyAlignment="1">
      <alignment horizontal="center" wrapText="1"/>
    </xf>
    <xf numFmtId="0" fontId="1" fillId="2" borderId="0" xfId="0" applyFont="1" applyFill="1" applyBorder="1" applyAlignment="1">
      <alignment horizontal="center"/>
    </xf>
    <xf numFmtId="2" fontId="1" fillId="2" borderId="0" xfId="0" applyNumberFormat="1" applyFont="1" applyFill="1" applyBorder="1" applyAlignment="1">
      <alignment horizontal="center"/>
    </xf>
    <xf numFmtId="1" fontId="1" fillId="3" borderId="1" xfId="0" applyNumberFormat="1" applyFont="1" applyFill="1" applyBorder="1" applyAlignment="1">
      <alignment horizontal="center"/>
    </xf>
    <xf numFmtId="0" fontId="18" fillId="2" borderId="8" xfId="0" applyFont="1" applyFill="1" applyBorder="1" applyAlignment="1">
      <alignment horizontal="center" wrapText="1"/>
    </xf>
    <xf numFmtId="0" fontId="18" fillId="2" borderId="9" xfId="0" applyFont="1" applyFill="1" applyBorder="1" applyAlignment="1">
      <alignment horizontal="center" wrapText="1"/>
    </xf>
    <xf numFmtId="1" fontId="18" fillId="2" borderId="14" xfId="0" applyNumberFormat="1" applyFont="1" applyFill="1" applyBorder="1" applyAlignment="1">
      <alignment horizontal="center" wrapText="1"/>
    </xf>
    <xf numFmtId="0" fontId="18" fillId="2" borderId="10" xfId="0" applyFont="1" applyFill="1" applyBorder="1" applyAlignment="1">
      <alignment horizontal="center" wrapText="1"/>
    </xf>
    <xf numFmtId="0" fontId="18" fillId="2" borderId="12" xfId="0" applyFont="1" applyFill="1" applyBorder="1" applyAlignment="1">
      <alignment horizontal="center" wrapText="1"/>
    </xf>
    <xf numFmtId="0" fontId="18" fillId="2" borderId="11" xfId="0" applyFont="1" applyFill="1" applyBorder="1" applyAlignment="1">
      <alignment horizontal="center" wrapText="1"/>
    </xf>
    <xf numFmtId="1" fontId="18" fillId="2" borderId="15" xfId="0" applyNumberFormat="1" applyFont="1" applyFill="1" applyBorder="1" applyAlignment="1">
      <alignment horizontal="center" wrapText="1"/>
    </xf>
    <xf numFmtId="0" fontId="18" fillId="2" borderId="5" xfId="0" applyFont="1" applyFill="1" applyBorder="1" applyAlignment="1">
      <alignment horizontal="center" wrapText="1"/>
    </xf>
    <xf numFmtId="0" fontId="18" fillId="2" borderId="7" xfId="0" applyFont="1" applyFill="1" applyBorder="1" applyAlignment="1">
      <alignment horizontal="center" wrapText="1"/>
    </xf>
    <xf numFmtId="0" fontId="18" fillId="2" borderId="6" xfId="0" applyFont="1" applyFill="1" applyBorder="1" applyAlignment="1">
      <alignment horizontal="center" wrapText="1"/>
    </xf>
    <xf numFmtId="1" fontId="18" fillId="2" borderId="13" xfId="0" applyNumberFormat="1" applyFont="1" applyFill="1" applyBorder="1" applyAlignment="1">
      <alignment horizontal="center" wrapText="1"/>
    </xf>
    <xf numFmtId="1" fontId="18" fillId="2" borderId="5" xfId="0" applyNumberFormat="1" applyFont="1" applyFill="1" applyBorder="1" applyAlignment="1">
      <alignment horizontal="center" wrapText="1"/>
    </xf>
    <xf numFmtId="0" fontId="7" fillId="2" borderId="0" xfId="0" applyFont="1" applyFill="1" applyBorder="1" applyAlignment="1">
      <alignment horizontal="center" wrapText="1"/>
    </xf>
    <xf numFmtId="0" fontId="18" fillId="2" borderId="27" xfId="0" applyFont="1" applyFill="1" applyBorder="1" applyAlignment="1">
      <alignment horizontal="center" wrapText="1"/>
    </xf>
    <xf numFmtId="1" fontId="18" fillId="2" borderId="8" xfId="0" applyNumberFormat="1" applyFont="1" applyFill="1" applyBorder="1" applyAlignment="1">
      <alignment horizontal="center" wrapText="1"/>
    </xf>
    <xf numFmtId="1" fontId="18" fillId="2" borderId="10" xfId="0" applyNumberFormat="1" applyFont="1" applyFill="1" applyBorder="1" applyAlignment="1">
      <alignment horizontal="center" wrapText="1"/>
    </xf>
    <xf numFmtId="0" fontId="16" fillId="2" borderId="34" xfId="0" applyFont="1" applyFill="1" applyBorder="1" applyAlignment="1">
      <alignment horizontal="center" wrapText="1"/>
    </xf>
    <xf numFmtId="0" fontId="18" fillId="2" borderId="28" xfId="0" applyFont="1" applyFill="1" applyBorder="1" applyAlignment="1">
      <alignment horizontal="center" wrapText="1"/>
    </xf>
    <xf numFmtId="0" fontId="14" fillId="2" borderId="25" xfId="0" applyFont="1" applyFill="1" applyBorder="1"/>
    <xf numFmtId="0" fontId="14" fillId="2" borderId="23" xfId="0" applyFont="1" applyFill="1" applyBorder="1"/>
    <xf numFmtId="0" fontId="14" fillId="2" borderId="24" xfId="0" applyFont="1" applyFill="1" applyBorder="1"/>
    <xf numFmtId="0" fontId="18" fillId="2" borderId="13" xfId="0" applyFont="1" applyFill="1" applyBorder="1" applyAlignment="1">
      <alignment horizontal="center" wrapText="1"/>
    </xf>
    <xf numFmtId="0" fontId="18" fillId="2" borderId="14" xfId="0" applyFont="1" applyFill="1" applyBorder="1" applyAlignment="1">
      <alignment horizontal="center" wrapText="1"/>
    </xf>
    <xf numFmtId="0" fontId="18" fillId="2" borderId="15" xfId="0" applyFont="1" applyFill="1" applyBorder="1" applyAlignment="1">
      <alignment horizontal="center" wrapText="1"/>
    </xf>
    <xf numFmtId="165" fontId="18" fillId="2" borderId="14" xfId="0" applyNumberFormat="1" applyFont="1" applyFill="1" applyBorder="1" applyAlignment="1">
      <alignment horizontal="center" wrapText="1"/>
    </xf>
    <xf numFmtId="2" fontId="6" fillId="2" borderId="1" xfId="0" applyNumberFormat="1" applyFont="1" applyFill="1" applyBorder="1" applyAlignment="1">
      <alignment horizontal="center" wrapText="1"/>
    </xf>
    <xf numFmtId="165" fontId="6" fillId="2" borderId="1" xfId="0" applyNumberFormat="1" applyFont="1" applyFill="1" applyBorder="1" applyAlignment="1">
      <alignment horizontal="center" wrapText="1"/>
    </xf>
    <xf numFmtId="0" fontId="0" fillId="2" borderId="1" xfId="0" applyFill="1" applyBorder="1" applyAlignment="1">
      <alignment vertical="center" wrapText="1"/>
    </xf>
    <xf numFmtId="0" fontId="16" fillId="2" borderId="39" xfId="0" applyFont="1" applyFill="1" applyBorder="1" applyAlignment="1">
      <alignment horizontal="center" wrapText="1"/>
    </xf>
    <xf numFmtId="0" fontId="16" fillId="2" borderId="40" xfId="0" applyFont="1" applyFill="1" applyBorder="1" applyAlignment="1">
      <alignment horizontal="center" wrapText="1"/>
    </xf>
    <xf numFmtId="0" fontId="16" fillId="2" borderId="41" xfId="0" applyFont="1" applyFill="1" applyBorder="1" applyAlignment="1">
      <alignment horizontal="center" wrapText="1"/>
    </xf>
    <xf numFmtId="0" fontId="16" fillId="2" borderId="42" xfId="0" applyFont="1" applyFill="1" applyBorder="1" applyAlignment="1">
      <alignment horizontal="center" wrapText="1"/>
    </xf>
    <xf numFmtId="1" fontId="1" fillId="3" borderId="1" xfId="0" applyNumberFormat="1" applyFont="1" applyFill="1" applyBorder="1" applyAlignment="1">
      <alignment horizontal="center" wrapText="1"/>
    </xf>
    <xf numFmtId="0" fontId="2" fillId="2" borderId="37" xfId="0" applyFont="1" applyFill="1" applyBorder="1"/>
    <xf numFmtId="0" fontId="0" fillId="2" borderId="44" xfId="0" applyFill="1" applyBorder="1"/>
    <xf numFmtId="0" fontId="0" fillId="2" borderId="44" xfId="0" applyFill="1" applyBorder="1" applyAlignment="1">
      <alignment horizontal="center"/>
    </xf>
    <xf numFmtId="0" fontId="0" fillId="2" borderId="44" xfId="0" applyFill="1" applyBorder="1" applyAlignment="1">
      <alignment wrapText="1"/>
    </xf>
    <xf numFmtId="0" fontId="7" fillId="2" borderId="44" xfId="0" applyFont="1" applyFill="1" applyBorder="1" applyAlignment="1">
      <alignment horizontal="center" wrapText="1"/>
    </xf>
    <xf numFmtId="0" fontId="0" fillId="2" borderId="45" xfId="0" applyFill="1" applyBorder="1"/>
    <xf numFmtId="0" fontId="2" fillId="2" borderId="29" xfId="0" applyFont="1" applyFill="1" applyBorder="1"/>
    <xf numFmtId="0" fontId="3" fillId="2" borderId="0" xfId="0" applyFont="1" applyFill="1" applyBorder="1" applyAlignment="1">
      <alignment horizontal="center"/>
    </xf>
    <xf numFmtId="0" fontId="3" fillId="2" borderId="0" xfId="0" applyFont="1" applyFill="1" applyBorder="1" applyAlignment="1">
      <alignment wrapText="1"/>
    </xf>
    <xf numFmtId="0" fontId="0" fillId="2" borderId="30" xfId="0" applyFill="1" applyBorder="1"/>
    <xf numFmtId="0" fontId="2" fillId="2" borderId="0" xfId="0" applyFont="1" applyFill="1" applyBorder="1" applyAlignment="1">
      <alignment horizontal="center"/>
    </xf>
    <xf numFmtId="0" fontId="2" fillId="2" borderId="0" xfId="0" applyFont="1" applyFill="1" applyBorder="1" applyAlignment="1">
      <alignment wrapText="1"/>
    </xf>
    <xf numFmtId="0" fontId="2" fillId="2" borderId="30" xfId="0" applyFont="1" applyFill="1" applyBorder="1"/>
    <xf numFmtId="0" fontId="0" fillId="2" borderId="46" xfId="0" applyFill="1" applyBorder="1"/>
    <xf numFmtId="0" fontId="0" fillId="2" borderId="46" xfId="0" applyFill="1" applyBorder="1" applyAlignment="1">
      <alignment horizontal="center"/>
    </xf>
    <xf numFmtId="0" fontId="0" fillId="2" borderId="46" xfId="0" applyFill="1" applyBorder="1" applyAlignment="1">
      <alignment wrapText="1"/>
    </xf>
    <xf numFmtId="0" fontId="6" fillId="2" borderId="46" xfId="0" applyFont="1" applyFill="1" applyBorder="1" applyAlignment="1">
      <alignment horizontal="center" wrapText="1"/>
    </xf>
    <xf numFmtId="0" fontId="0" fillId="2" borderId="47" xfId="0" applyFill="1" applyBorder="1"/>
    <xf numFmtId="0" fontId="2" fillId="4" borderId="0" xfId="0" applyFont="1" applyFill="1"/>
    <xf numFmtId="0" fontId="0" fillId="4" borderId="0" xfId="0" applyFill="1"/>
    <xf numFmtId="0" fontId="0" fillId="4" borderId="0" xfId="0" applyFill="1" applyAlignment="1">
      <alignment horizontal="center"/>
    </xf>
    <xf numFmtId="0" fontId="0" fillId="4" borderId="0" xfId="0" applyFill="1" applyAlignment="1">
      <alignment wrapText="1"/>
    </xf>
    <xf numFmtId="0" fontId="6" fillId="4" borderId="0" xfId="0" applyFont="1" applyFill="1" applyAlignment="1">
      <alignment horizontal="center" wrapText="1"/>
    </xf>
    <xf numFmtId="0" fontId="6" fillId="2" borderId="44" xfId="0" applyFont="1" applyFill="1" applyBorder="1" applyAlignment="1">
      <alignment horizontal="center" wrapText="1"/>
    </xf>
    <xf numFmtId="0" fontId="7" fillId="2" borderId="0" xfId="0" applyFont="1" applyFill="1" applyBorder="1" applyAlignment="1">
      <alignment horizontal="right" vertical="center"/>
    </xf>
    <xf numFmtId="0" fontId="23" fillId="2" borderId="0" xfId="0" applyFont="1" applyFill="1"/>
    <xf numFmtId="0" fontId="0" fillId="2" borderId="0" xfId="0" applyFill="1" applyBorder="1" applyAlignment="1">
      <alignment vertical="top"/>
    </xf>
    <xf numFmtId="0" fontId="11" fillId="2" borderId="0" xfId="0" applyFont="1" applyFill="1" applyBorder="1" applyAlignment="1">
      <alignment horizontal="center" vertical="top"/>
    </xf>
    <xf numFmtId="0" fontId="0" fillId="2" borderId="0" xfId="0" applyFill="1" applyBorder="1" applyAlignment="1">
      <alignment vertical="top" wrapText="1"/>
    </xf>
    <xf numFmtId="0" fontId="7" fillId="2" borderId="0" xfId="0" applyFont="1" applyFill="1" applyBorder="1" applyAlignment="1">
      <alignment horizontal="right" vertical="top"/>
    </xf>
    <xf numFmtId="0" fontId="0" fillId="2" borderId="30" xfId="0" applyFill="1" applyBorder="1" applyAlignment="1">
      <alignment vertical="top"/>
    </xf>
    <xf numFmtId="0" fontId="1" fillId="3" borderId="11" xfId="0" applyFont="1" applyFill="1" applyBorder="1" applyAlignment="1">
      <alignment horizontal="center" vertical="top"/>
    </xf>
    <xf numFmtId="164" fontId="0" fillId="2" borderId="1" xfId="0" applyNumberFormat="1" applyFill="1" applyBorder="1" applyAlignment="1">
      <alignment horizontal="center"/>
    </xf>
    <xf numFmtId="0" fontId="1" fillId="2" borderId="0" xfId="0" applyFont="1" applyFill="1" applyBorder="1"/>
    <xf numFmtId="0" fontId="1" fillId="2" borderId="0" xfId="0" applyFont="1" applyFill="1" applyBorder="1" applyAlignment="1">
      <alignment horizontal="left" vertical="center" wrapText="1"/>
    </xf>
    <xf numFmtId="1" fontId="1" fillId="2" borderId="0" xfId="0" applyNumberFormat="1" applyFont="1" applyFill="1" applyBorder="1" applyAlignment="1">
      <alignment horizontal="center" wrapText="1"/>
    </xf>
    <xf numFmtId="1" fontId="1" fillId="2" borderId="0" xfId="0" applyNumberFormat="1" applyFont="1" applyFill="1" applyBorder="1" applyAlignment="1">
      <alignment horizontal="center"/>
    </xf>
    <xf numFmtId="0" fontId="30" fillId="4" borderId="1" xfId="0" applyFont="1" applyFill="1" applyBorder="1" applyAlignment="1">
      <alignment wrapText="1"/>
    </xf>
    <xf numFmtId="0" fontId="31" fillId="4" borderId="1" xfId="0" applyFont="1" applyFill="1" applyBorder="1" applyAlignment="1">
      <alignment wrapText="1"/>
    </xf>
    <xf numFmtId="0" fontId="31" fillId="4" borderId="1" xfId="0" applyFont="1" applyFill="1" applyBorder="1" applyAlignment="1">
      <alignment horizontal="center" wrapText="1"/>
    </xf>
    <xf numFmtId="0" fontId="30" fillId="4" borderId="1" xfId="0" applyFont="1" applyFill="1" applyBorder="1"/>
    <xf numFmtId="1" fontId="30" fillId="4" borderId="1" xfId="0" applyNumberFormat="1" applyFont="1" applyFill="1" applyBorder="1" applyAlignment="1">
      <alignment horizontal="center"/>
    </xf>
    <xf numFmtId="0" fontId="30" fillId="4" borderId="1" xfId="0" quotePrefix="1" applyFont="1" applyFill="1" applyBorder="1"/>
    <xf numFmtId="0" fontId="30" fillId="4" borderId="0" xfId="0" applyFont="1" applyFill="1" applyAlignment="1">
      <alignment wrapText="1"/>
    </xf>
    <xf numFmtId="0" fontId="30" fillId="4" borderId="0" xfId="0" applyFont="1" applyFill="1"/>
    <xf numFmtId="0" fontId="30" fillId="4" borderId="0" xfId="0" applyFont="1" applyFill="1" applyAlignment="1">
      <alignment horizontal="center"/>
    </xf>
    <xf numFmtId="0" fontId="31" fillId="2" borderId="29" xfId="0" applyFont="1" applyFill="1" applyBorder="1"/>
    <xf numFmtId="0" fontId="31" fillId="2" borderId="0" xfId="0" applyFont="1" applyFill="1" applyBorder="1"/>
    <xf numFmtId="0" fontId="30" fillId="2" borderId="0" xfId="0" applyFont="1" applyFill="1" applyBorder="1"/>
    <xf numFmtId="0" fontId="31" fillId="2" borderId="0" xfId="0" applyFont="1" applyFill="1" applyBorder="1" applyAlignment="1">
      <alignment horizontal="left"/>
    </xf>
    <xf numFmtId="0" fontId="30" fillId="2" borderId="0" xfId="0" applyFont="1" applyFill="1" applyBorder="1" applyAlignment="1">
      <alignment wrapText="1"/>
    </xf>
    <xf numFmtId="0" fontId="32" fillId="2" borderId="0" xfId="0" applyFont="1" applyFill="1" applyBorder="1" applyAlignment="1">
      <alignment horizontal="center" wrapText="1"/>
    </xf>
    <xf numFmtId="0" fontId="30" fillId="2" borderId="0" xfId="0" applyFont="1" applyFill="1" applyBorder="1" applyAlignment="1">
      <alignment horizontal="center"/>
    </xf>
    <xf numFmtId="0" fontId="30" fillId="2" borderId="30" xfId="0" applyFont="1" applyFill="1" applyBorder="1"/>
    <xf numFmtId="0" fontId="31" fillId="2" borderId="29" xfId="0" applyFont="1" applyFill="1" applyBorder="1" applyAlignment="1">
      <alignment vertical="top"/>
    </xf>
    <xf numFmtId="0" fontId="31" fillId="2" borderId="0" xfId="0" applyFont="1" applyFill="1" applyBorder="1" applyAlignment="1">
      <alignment vertical="top"/>
    </xf>
    <xf numFmtId="0" fontId="30" fillId="2" borderId="0" xfId="0" applyFont="1" applyFill="1" applyBorder="1" applyAlignment="1">
      <alignment vertical="top"/>
    </xf>
    <xf numFmtId="0" fontId="35" fillId="2" borderId="0" xfId="0" applyFont="1" applyFill="1" applyBorder="1" applyAlignment="1">
      <alignment horizontal="center" vertical="top"/>
    </xf>
    <xf numFmtId="0" fontId="30" fillId="2" borderId="0" xfId="0" applyFont="1" applyFill="1" applyBorder="1" applyAlignment="1">
      <alignment vertical="top" wrapText="1"/>
    </xf>
    <xf numFmtId="0" fontId="36" fillId="2" borderId="0" xfId="0" applyFont="1" applyFill="1" applyBorder="1" applyAlignment="1">
      <alignment horizontal="right" vertical="top"/>
    </xf>
    <xf numFmtId="0" fontId="30" fillId="2" borderId="30" xfId="0" applyFont="1" applyFill="1" applyBorder="1" applyAlignment="1">
      <alignment vertical="top"/>
    </xf>
    <xf numFmtId="0" fontId="37" fillId="3" borderId="11" xfId="0" applyFont="1" applyFill="1" applyBorder="1" applyAlignment="1">
      <alignment horizontal="center" vertical="top"/>
    </xf>
    <xf numFmtId="0" fontId="35" fillId="2" borderId="0" xfId="0" applyFont="1" applyFill="1" applyBorder="1" applyAlignment="1">
      <alignment horizontal="center"/>
    </xf>
    <xf numFmtId="0" fontId="36" fillId="2" borderId="0" xfId="0" applyFont="1" applyFill="1" applyBorder="1" applyAlignment="1">
      <alignment horizontal="right" vertical="center"/>
    </xf>
    <xf numFmtId="0" fontId="37" fillId="2" borderId="0" xfId="0" applyFont="1" applyFill="1" applyBorder="1" applyAlignment="1">
      <alignment horizontal="center"/>
    </xf>
    <xf numFmtId="0" fontId="31" fillId="2" borderId="37" xfId="0" applyFont="1" applyFill="1" applyBorder="1"/>
    <xf numFmtId="0" fontId="31" fillId="2" borderId="44" xfId="0" applyFont="1" applyFill="1" applyBorder="1"/>
    <xf numFmtId="0" fontId="30" fillId="2" borderId="44" xfId="0" applyFont="1" applyFill="1" applyBorder="1"/>
    <xf numFmtId="0" fontId="30" fillId="2" borderId="44" xfId="0" applyFont="1" applyFill="1" applyBorder="1" applyAlignment="1">
      <alignment horizontal="center"/>
    </xf>
    <xf numFmtId="0" fontId="30" fillId="2" borderId="44" xfId="0" applyFont="1" applyFill="1" applyBorder="1" applyAlignment="1">
      <alignment wrapText="1"/>
    </xf>
    <xf numFmtId="0" fontId="36" fillId="2" borderId="44" xfId="0" applyFont="1" applyFill="1" applyBorder="1" applyAlignment="1">
      <alignment horizontal="center" wrapText="1"/>
    </xf>
    <xf numFmtId="0" fontId="30" fillId="2" borderId="45" xfId="0" applyFont="1" applyFill="1" applyBorder="1"/>
    <xf numFmtId="0" fontId="38" fillId="2" borderId="0" xfId="0" applyFont="1" applyFill="1" applyBorder="1"/>
    <xf numFmtId="0" fontId="30" fillId="2" borderId="1" xfId="0" applyFont="1" applyFill="1" applyBorder="1" applyAlignment="1">
      <alignment horizontal="center"/>
    </xf>
    <xf numFmtId="0" fontId="30" fillId="2" borderId="2" xfId="0" applyFont="1" applyFill="1" applyBorder="1" applyAlignment="1">
      <alignment wrapText="1"/>
    </xf>
    <xf numFmtId="1" fontId="32" fillId="2" borderId="1" xfId="0" applyNumberFormat="1" applyFont="1" applyFill="1" applyBorder="1" applyAlignment="1">
      <alignment horizontal="center" wrapText="1"/>
    </xf>
    <xf numFmtId="1" fontId="37" fillId="3" borderId="3" xfId="0" applyNumberFormat="1" applyFont="1" applyFill="1" applyBorder="1" applyAlignment="1">
      <alignment horizontal="center"/>
    </xf>
    <xf numFmtId="1" fontId="37" fillId="3" borderId="1" xfId="0" applyNumberFormat="1" applyFont="1" applyFill="1" applyBorder="1" applyAlignment="1">
      <alignment horizontal="center"/>
    </xf>
    <xf numFmtId="1" fontId="32" fillId="2" borderId="0" xfId="0" applyNumberFormat="1" applyFont="1" applyFill="1" applyBorder="1" applyAlignment="1">
      <alignment horizontal="center" wrapText="1"/>
    </xf>
    <xf numFmtId="2" fontId="37" fillId="2" borderId="0" xfId="0" applyNumberFormat="1" applyFont="1" applyFill="1" applyBorder="1" applyAlignment="1">
      <alignment horizontal="center"/>
    </xf>
    <xf numFmtId="165" fontId="32" fillId="2" borderId="1" xfId="0" applyNumberFormat="1" applyFont="1" applyFill="1" applyBorder="1" applyAlignment="1">
      <alignment horizontal="center" wrapText="1"/>
    </xf>
    <xf numFmtId="0" fontId="30" fillId="2" borderId="1" xfId="0" applyFont="1" applyFill="1" applyBorder="1" applyAlignment="1">
      <alignment vertical="center" wrapText="1"/>
    </xf>
    <xf numFmtId="2" fontId="32" fillId="2" borderId="1" xfId="0" applyNumberFormat="1" applyFont="1" applyFill="1" applyBorder="1" applyAlignment="1">
      <alignment horizontal="center" wrapText="1"/>
    </xf>
    <xf numFmtId="0" fontId="37" fillId="3" borderId="1" xfId="0" applyFont="1" applyFill="1" applyBorder="1" applyAlignment="1">
      <alignment horizontal="center"/>
    </xf>
    <xf numFmtId="1" fontId="37" fillId="3" borderId="1" xfId="0" applyNumberFormat="1" applyFont="1" applyFill="1" applyBorder="1" applyAlignment="1">
      <alignment horizontal="center" wrapText="1"/>
    </xf>
    <xf numFmtId="1" fontId="37" fillId="2" borderId="0" xfId="0" applyNumberFormat="1" applyFont="1" applyFill="1" applyBorder="1" applyAlignment="1">
      <alignment horizontal="center"/>
    </xf>
    <xf numFmtId="0" fontId="30" fillId="2" borderId="1" xfId="0" applyFont="1" applyFill="1" applyBorder="1" applyAlignment="1">
      <alignment wrapText="1"/>
    </xf>
    <xf numFmtId="0" fontId="37" fillId="3" borderId="3" xfId="0" applyFont="1" applyFill="1" applyBorder="1" applyAlignment="1">
      <alignment horizontal="center"/>
    </xf>
    <xf numFmtId="0" fontId="31" fillId="2" borderId="0" xfId="0" applyFont="1" applyFill="1" applyBorder="1" applyAlignment="1">
      <alignment horizontal="center"/>
    </xf>
    <xf numFmtId="0" fontId="31" fillId="2" borderId="0" xfId="0" applyFont="1" applyFill="1" applyBorder="1" applyAlignment="1">
      <alignment wrapText="1"/>
    </xf>
    <xf numFmtId="0" fontId="36" fillId="2" borderId="0" xfId="0" applyFont="1" applyFill="1" applyBorder="1" applyAlignment="1">
      <alignment horizontal="center" wrapText="1"/>
    </xf>
    <xf numFmtId="0" fontId="31" fillId="2" borderId="30" xfId="0" applyFont="1" applyFill="1" applyBorder="1"/>
    <xf numFmtId="0" fontId="31" fillId="2" borderId="43" xfId="0" applyFont="1" applyFill="1" applyBorder="1"/>
    <xf numFmtId="0" fontId="31" fillId="2" borderId="46" xfId="0" applyFont="1" applyFill="1" applyBorder="1"/>
    <xf numFmtId="0" fontId="38" fillId="2" borderId="46" xfId="0" applyFont="1" applyFill="1" applyBorder="1"/>
    <xf numFmtId="0" fontId="30" fillId="2" borderId="46" xfId="0" applyFont="1" applyFill="1" applyBorder="1"/>
    <xf numFmtId="0" fontId="30" fillId="2" borderId="46" xfId="0" applyFont="1" applyFill="1" applyBorder="1" applyAlignment="1">
      <alignment horizontal="center"/>
    </xf>
    <xf numFmtId="0" fontId="30" fillId="2" borderId="46" xfId="0" applyFont="1" applyFill="1" applyBorder="1" applyAlignment="1">
      <alignment wrapText="1"/>
    </xf>
    <xf numFmtId="0" fontId="32" fillId="2" borderId="46" xfId="0" applyFont="1" applyFill="1" applyBorder="1" applyAlignment="1">
      <alignment horizontal="center" wrapText="1"/>
    </xf>
    <xf numFmtId="0" fontId="30" fillId="2" borderId="47" xfId="0" applyFont="1" applyFill="1" applyBorder="1"/>
    <xf numFmtId="49" fontId="21" fillId="4" borderId="1" xfId="0" applyNumberFormat="1" applyFont="1" applyFill="1" applyBorder="1"/>
    <xf numFmtId="0" fontId="21" fillId="4" borderId="1" xfId="0" applyFont="1" applyFill="1" applyBorder="1"/>
    <xf numFmtId="0" fontId="21" fillId="4" borderId="1" xfId="0" applyFont="1" applyFill="1" applyBorder="1" applyAlignment="1">
      <alignment horizontal="left" wrapText="1"/>
    </xf>
    <xf numFmtId="0" fontId="14" fillId="4" borderId="0" xfId="0" applyFont="1" applyFill="1"/>
    <xf numFmtId="49" fontId="14" fillId="4" borderId="1" xfId="0" applyNumberFormat="1" applyFont="1" applyFill="1" applyBorder="1"/>
    <xf numFmtId="0" fontId="14" fillId="4" borderId="1" xfId="0" applyFont="1" applyFill="1" applyBorder="1"/>
    <xf numFmtId="0" fontId="14" fillId="4" borderId="1" xfId="0" applyFont="1" applyFill="1" applyBorder="1" applyAlignment="1">
      <alignment horizontal="center"/>
    </xf>
    <xf numFmtId="164" fontId="14" fillId="4" borderId="1" xfId="0" applyNumberFormat="1" applyFont="1" applyFill="1" applyBorder="1" applyAlignment="1">
      <alignment horizontal="center"/>
    </xf>
    <xf numFmtId="49" fontId="41" fillId="4" borderId="1" xfId="0" applyNumberFormat="1" applyFont="1" applyFill="1" applyBorder="1" applyAlignment="1">
      <alignment horizontal="left"/>
    </xf>
    <xf numFmtId="0" fontId="41" fillId="4" borderId="1" xfId="0" applyFont="1" applyFill="1" applyBorder="1" applyAlignment="1">
      <alignment horizontal="left"/>
    </xf>
    <xf numFmtId="0" fontId="41" fillId="4" borderId="1" xfId="0" applyFont="1" applyFill="1" applyBorder="1"/>
    <xf numFmtId="0" fontId="41" fillId="4" borderId="1" xfId="0" applyFont="1" applyFill="1" applyBorder="1" applyAlignment="1">
      <alignment horizontal="center"/>
    </xf>
    <xf numFmtId="1" fontId="14" fillId="4" borderId="1" xfId="0" applyNumberFormat="1" applyFont="1" applyFill="1" applyBorder="1" applyAlignment="1">
      <alignment horizontal="center"/>
    </xf>
    <xf numFmtId="2" fontId="14" fillId="4" borderId="1" xfId="0" applyNumberFormat="1" applyFont="1" applyFill="1" applyBorder="1" applyAlignment="1">
      <alignment horizontal="center"/>
    </xf>
    <xf numFmtId="49" fontId="14" fillId="4" borderId="0" xfId="0" applyNumberFormat="1" applyFont="1" applyFill="1"/>
    <xf numFmtId="0" fontId="14" fillId="4" borderId="0" xfId="0" applyFont="1" applyFill="1" applyAlignment="1">
      <alignment horizontal="center"/>
    </xf>
    <xf numFmtId="0" fontId="14" fillId="4" borderId="0" xfId="0" applyFont="1" applyFill="1" applyAlignment="1"/>
    <xf numFmtId="0" fontId="21" fillId="4" borderId="19" xfId="0" applyFont="1" applyFill="1" applyBorder="1"/>
    <xf numFmtId="0" fontId="14" fillId="4" borderId="20" xfId="0" applyFont="1" applyFill="1" applyBorder="1"/>
    <xf numFmtId="0" fontId="14" fillId="4" borderId="21" xfId="0" applyFont="1" applyFill="1" applyBorder="1"/>
    <xf numFmtId="0" fontId="14" fillId="4" borderId="29" xfId="0" applyFont="1" applyFill="1" applyBorder="1"/>
    <xf numFmtId="164" fontId="14" fillId="4" borderId="0" xfId="0" applyNumberFormat="1" applyFont="1" applyFill="1"/>
    <xf numFmtId="2" fontId="14" fillId="4" borderId="0" xfId="0" applyNumberFormat="1" applyFont="1" applyFill="1"/>
    <xf numFmtId="0" fontId="14" fillId="4" borderId="43" xfId="0" applyFont="1" applyFill="1" applyBorder="1"/>
    <xf numFmtId="0" fontId="14" fillId="4" borderId="0" xfId="0" applyFont="1" applyFill="1" applyBorder="1" applyAlignment="1">
      <alignment horizontal="center"/>
    </xf>
    <xf numFmtId="0" fontId="14" fillId="4" borderId="30" xfId="0" applyFont="1" applyFill="1" applyBorder="1" applyAlignment="1">
      <alignment horizontal="center"/>
    </xf>
    <xf numFmtId="2" fontId="14" fillId="4" borderId="0" xfId="0" applyNumberFormat="1" applyFont="1" applyFill="1" applyBorder="1" applyAlignment="1">
      <alignment horizontal="center"/>
    </xf>
    <xf numFmtId="2" fontId="14" fillId="4" borderId="30" xfId="0" applyNumberFormat="1" applyFont="1" applyFill="1" applyBorder="1" applyAlignment="1">
      <alignment horizontal="center"/>
    </xf>
    <xf numFmtId="164" fontId="14" fillId="4" borderId="0" xfId="0" applyNumberFormat="1" applyFont="1" applyFill="1" applyBorder="1" applyAlignment="1">
      <alignment horizontal="center"/>
    </xf>
    <xf numFmtId="164" fontId="14" fillId="4" borderId="30" xfId="0" applyNumberFormat="1" applyFont="1" applyFill="1" applyBorder="1" applyAlignment="1">
      <alignment horizontal="center"/>
    </xf>
    <xf numFmtId="0" fontId="21" fillId="4" borderId="0" xfId="0" applyFont="1" applyFill="1"/>
    <xf numFmtId="0" fontId="14" fillId="4" borderId="1" xfId="0" applyFont="1" applyFill="1" applyBorder="1" applyAlignment="1">
      <alignment wrapText="1"/>
    </xf>
    <xf numFmtId="0" fontId="14" fillId="2" borderId="29" xfId="0" applyFont="1" applyFill="1" applyBorder="1"/>
    <xf numFmtId="0" fontId="18" fillId="2" borderId="36" xfId="0" applyFont="1" applyFill="1" applyBorder="1" applyAlignment="1">
      <alignment horizontal="center" wrapText="1"/>
    </xf>
    <xf numFmtId="1" fontId="18" fillId="2" borderId="52" xfId="0" applyNumberFormat="1" applyFont="1" applyFill="1" applyBorder="1" applyAlignment="1">
      <alignment horizontal="center" wrapText="1"/>
    </xf>
    <xf numFmtId="0" fontId="18" fillId="2" borderId="53" xfId="0" applyFont="1" applyFill="1" applyBorder="1" applyAlignment="1">
      <alignment horizontal="center" wrapText="1"/>
    </xf>
    <xf numFmtId="0" fontId="18" fillId="2" borderId="52" xfId="0" applyFont="1" applyFill="1" applyBorder="1" applyAlignment="1">
      <alignment horizontal="center" wrapText="1"/>
    </xf>
    <xf numFmtId="0" fontId="18" fillId="2" borderId="54" xfId="0" applyFont="1" applyFill="1" applyBorder="1" applyAlignment="1">
      <alignment horizontal="center" wrapText="1"/>
    </xf>
    <xf numFmtId="0" fontId="18" fillId="2" borderId="35" xfId="0" applyFont="1" applyFill="1" applyBorder="1" applyAlignment="1">
      <alignment horizontal="center" wrapText="1"/>
    </xf>
    <xf numFmtId="1" fontId="18" fillId="2" borderId="36" xfId="0" applyNumberFormat="1" applyFont="1" applyFill="1" applyBorder="1" applyAlignment="1">
      <alignment horizontal="center" wrapText="1"/>
    </xf>
    <xf numFmtId="1" fontId="46" fillId="3" borderId="5" xfId="0" applyNumberFormat="1" applyFont="1" applyFill="1" applyBorder="1" applyAlignment="1">
      <alignment horizontal="center" wrapText="1"/>
    </xf>
    <xf numFmtId="0" fontId="46" fillId="3" borderId="5" xfId="0" applyFont="1" applyFill="1" applyBorder="1" applyAlignment="1">
      <alignment horizontal="center" wrapText="1"/>
    </xf>
    <xf numFmtId="1" fontId="46" fillId="3" borderId="52" xfId="0" applyNumberFormat="1" applyFont="1" applyFill="1" applyBorder="1" applyAlignment="1">
      <alignment horizontal="center" wrapText="1"/>
    </xf>
    <xf numFmtId="0" fontId="46" fillId="3" borderId="52" xfId="0" applyFont="1" applyFill="1" applyBorder="1" applyAlignment="1">
      <alignment horizontal="center" wrapText="1"/>
    </xf>
    <xf numFmtId="1" fontId="46" fillId="3" borderId="10" xfId="0" applyNumberFormat="1" applyFont="1" applyFill="1" applyBorder="1" applyAlignment="1">
      <alignment horizontal="center" wrapText="1"/>
    </xf>
    <xf numFmtId="0" fontId="46" fillId="3" borderId="10" xfId="0" applyFont="1" applyFill="1" applyBorder="1" applyAlignment="1">
      <alignment horizontal="center" wrapText="1"/>
    </xf>
    <xf numFmtId="0" fontId="46" fillId="3" borderId="11" xfId="0" applyFont="1" applyFill="1" applyBorder="1" applyAlignment="1">
      <alignment horizontal="center" wrapText="1"/>
    </xf>
    <xf numFmtId="1" fontId="46" fillId="3" borderId="8" xfId="0" applyNumberFormat="1" applyFont="1" applyFill="1" applyBorder="1" applyAlignment="1">
      <alignment horizontal="center" wrapText="1"/>
    </xf>
    <xf numFmtId="0" fontId="46" fillId="3" borderId="8" xfId="0" applyFont="1" applyFill="1" applyBorder="1" applyAlignment="1">
      <alignment horizontal="center" wrapText="1"/>
    </xf>
    <xf numFmtId="0" fontId="46" fillId="3" borderId="1" xfId="0" applyFont="1" applyFill="1" applyBorder="1" applyAlignment="1">
      <alignment horizontal="center" wrapText="1"/>
    </xf>
    <xf numFmtId="0" fontId="50" fillId="4" borderId="0" xfId="0" applyFont="1" applyFill="1"/>
    <xf numFmtId="0" fontId="22" fillId="4" borderId="0" xfId="0" applyFont="1" applyFill="1"/>
    <xf numFmtId="0" fontId="22" fillId="4" borderId="0" xfId="0" applyFont="1" applyFill="1" applyBorder="1"/>
    <xf numFmtId="0" fontId="15" fillId="4" borderId="0" xfId="0" applyFont="1" applyFill="1" applyBorder="1" applyAlignment="1">
      <alignment horizontal="center" wrapText="1"/>
    </xf>
    <xf numFmtId="0" fontId="45" fillId="4" borderId="0" xfId="0" applyFont="1" applyFill="1" applyBorder="1" applyAlignment="1">
      <alignment horizontal="center" wrapText="1"/>
    </xf>
    <xf numFmtId="0" fontId="14" fillId="4" borderId="0" xfId="0" applyFont="1" applyFill="1" applyBorder="1"/>
    <xf numFmtId="0" fontId="18" fillId="4" borderId="0" xfId="0" applyFont="1" applyFill="1" applyBorder="1" applyAlignment="1">
      <alignment horizontal="center" wrapText="1"/>
    </xf>
    <xf numFmtId="1" fontId="18" fillId="4" borderId="0" xfId="0" applyNumberFormat="1" applyFont="1" applyFill="1" applyBorder="1" applyAlignment="1">
      <alignment horizontal="center" wrapText="1"/>
    </xf>
    <xf numFmtId="0" fontId="46" fillId="4" borderId="0" xfId="0" applyFont="1" applyFill="1" applyBorder="1" applyAlignment="1">
      <alignment horizontal="center" wrapText="1"/>
    </xf>
    <xf numFmtId="1" fontId="46" fillId="4" borderId="0" xfId="0" applyNumberFormat="1" applyFont="1" applyFill="1" applyBorder="1" applyAlignment="1">
      <alignment horizontal="center" wrapText="1"/>
    </xf>
    <xf numFmtId="0" fontId="18" fillId="2" borderId="55" xfId="0" applyFont="1" applyFill="1" applyBorder="1" applyAlignment="1">
      <alignment horizontal="center" wrapText="1"/>
    </xf>
    <xf numFmtId="0" fontId="18" fillId="2" borderId="2" xfId="0" applyFont="1" applyFill="1" applyBorder="1" applyAlignment="1">
      <alignment horizontal="center" wrapText="1"/>
    </xf>
    <xf numFmtId="0" fontId="18" fillId="2" borderId="56" xfId="0" applyFont="1" applyFill="1" applyBorder="1" applyAlignment="1">
      <alignment horizontal="center" wrapText="1"/>
    </xf>
    <xf numFmtId="0" fontId="18" fillId="2" borderId="57" xfId="0" applyFont="1" applyFill="1" applyBorder="1" applyAlignment="1">
      <alignment horizontal="center" wrapText="1"/>
    </xf>
    <xf numFmtId="0" fontId="18" fillId="2" borderId="58" xfId="0" applyFont="1" applyFill="1" applyBorder="1" applyAlignment="1">
      <alignment horizontal="center" wrapText="1"/>
    </xf>
    <xf numFmtId="0" fontId="18" fillId="2" borderId="59" xfId="0" applyFont="1" applyFill="1" applyBorder="1" applyAlignment="1">
      <alignment horizontal="center" wrapText="1"/>
    </xf>
    <xf numFmtId="1" fontId="18" fillId="2" borderId="7" xfId="0" applyNumberFormat="1" applyFont="1" applyFill="1" applyBorder="1" applyAlignment="1">
      <alignment horizontal="center" wrapText="1"/>
    </xf>
    <xf numFmtId="0" fontId="30" fillId="0" borderId="0" xfId="0" applyFont="1"/>
    <xf numFmtId="0" fontId="46" fillId="2" borderId="13" xfId="0" applyFont="1" applyFill="1" applyBorder="1" applyAlignment="1">
      <alignment horizontal="center" wrapText="1"/>
    </xf>
    <xf numFmtId="0" fontId="46" fillId="2" borderId="36" xfId="0" applyFont="1" applyFill="1" applyBorder="1" applyAlignment="1">
      <alignment horizontal="center" wrapText="1"/>
    </xf>
    <xf numFmtId="0" fontId="46" fillId="2" borderId="15" xfId="0" applyFont="1" applyFill="1" applyBorder="1" applyAlignment="1">
      <alignment horizontal="center" wrapText="1"/>
    </xf>
    <xf numFmtId="0" fontId="46" fillId="2" borderId="14" xfId="0" applyFont="1" applyFill="1" applyBorder="1" applyAlignment="1">
      <alignment horizontal="center" wrapText="1"/>
    </xf>
    <xf numFmtId="0" fontId="46" fillId="2" borderId="7" xfId="0" applyFont="1" applyFill="1" applyBorder="1" applyAlignment="1">
      <alignment horizontal="center" wrapText="1"/>
    </xf>
    <xf numFmtId="0" fontId="46" fillId="2" borderId="53" xfId="0" applyFont="1" applyFill="1" applyBorder="1" applyAlignment="1">
      <alignment horizontal="center" wrapText="1"/>
    </xf>
    <xf numFmtId="0" fontId="46" fillId="2" borderId="12" xfId="0" applyFont="1" applyFill="1" applyBorder="1" applyAlignment="1">
      <alignment horizontal="center" wrapText="1"/>
    </xf>
    <xf numFmtId="0" fontId="46" fillId="2" borderId="9" xfId="0" applyFont="1" applyFill="1" applyBorder="1" applyAlignment="1">
      <alignment horizontal="center" wrapText="1"/>
    </xf>
    <xf numFmtId="1" fontId="46" fillId="2" borderId="13" xfId="0" applyNumberFormat="1" applyFont="1" applyFill="1" applyBorder="1" applyAlignment="1">
      <alignment horizontal="center" wrapText="1"/>
    </xf>
    <xf numFmtId="1" fontId="46" fillId="2" borderId="36" xfId="0" applyNumberFormat="1" applyFont="1" applyFill="1" applyBorder="1" applyAlignment="1">
      <alignment horizontal="center" wrapText="1"/>
    </xf>
    <xf numFmtId="1" fontId="46" fillId="2" borderId="15" xfId="0" applyNumberFormat="1" applyFont="1" applyFill="1" applyBorder="1" applyAlignment="1">
      <alignment horizontal="center" wrapText="1"/>
    </xf>
    <xf numFmtId="1" fontId="46" fillId="2" borderId="14" xfId="0" applyNumberFormat="1" applyFont="1" applyFill="1" applyBorder="1" applyAlignment="1">
      <alignment horizontal="center" wrapText="1"/>
    </xf>
    <xf numFmtId="165" fontId="46" fillId="2" borderId="14" xfId="0" applyNumberFormat="1" applyFont="1" applyFill="1" applyBorder="1" applyAlignment="1">
      <alignment horizontal="center" wrapText="1"/>
    </xf>
    <xf numFmtId="2" fontId="46" fillId="2" borderId="14" xfId="0" applyNumberFormat="1" applyFont="1" applyFill="1" applyBorder="1" applyAlignment="1">
      <alignment horizontal="center" wrapText="1"/>
    </xf>
    <xf numFmtId="2" fontId="46" fillId="2" borderId="15" xfId="0" applyNumberFormat="1" applyFont="1" applyFill="1" applyBorder="1" applyAlignment="1">
      <alignment horizontal="center" wrapText="1"/>
    </xf>
    <xf numFmtId="0" fontId="31" fillId="2" borderId="44" xfId="0" applyFont="1" applyFill="1" applyBorder="1" applyAlignment="1">
      <alignment horizontal="left"/>
    </xf>
    <xf numFmtId="0" fontId="32" fillId="2" borderId="44" xfId="0" applyFont="1" applyFill="1" applyBorder="1" applyAlignment="1">
      <alignment horizontal="center" wrapText="1"/>
    </xf>
    <xf numFmtId="0" fontId="46" fillId="3" borderId="2" xfId="0" applyFont="1" applyFill="1" applyBorder="1" applyAlignment="1">
      <alignment horizontal="center" wrapText="1"/>
    </xf>
    <xf numFmtId="0" fontId="46" fillId="3" borderId="56" xfId="0" applyFont="1" applyFill="1" applyBorder="1" applyAlignment="1">
      <alignment horizontal="center" wrapText="1"/>
    </xf>
    <xf numFmtId="0" fontId="46" fillId="3" borderId="6" xfId="0" applyFont="1" applyFill="1" applyBorder="1" applyAlignment="1">
      <alignment horizontal="center" wrapText="1"/>
    </xf>
    <xf numFmtId="0" fontId="46" fillId="3" borderId="55" xfId="0" applyFont="1" applyFill="1" applyBorder="1" applyAlignment="1">
      <alignment horizontal="center" wrapText="1"/>
    </xf>
    <xf numFmtId="0" fontId="46" fillId="3" borderId="35" xfId="0" applyFont="1" applyFill="1" applyBorder="1" applyAlignment="1">
      <alignment horizontal="center" wrapText="1"/>
    </xf>
    <xf numFmtId="0" fontId="46" fillId="3" borderId="60" xfId="0" applyFont="1" applyFill="1" applyBorder="1" applyAlignment="1">
      <alignment horizontal="center" wrapText="1"/>
    </xf>
    <xf numFmtId="1" fontId="46" fillId="3" borderId="6" xfId="0" applyNumberFormat="1" applyFont="1" applyFill="1" applyBorder="1" applyAlignment="1">
      <alignment horizontal="center" wrapText="1"/>
    </xf>
    <xf numFmtId="1" fontId="46" fillId="3" borderId="55" xfId="0" applyNumberFormat="1" applyFont="1" applyFill="1" applyBorder="1" applyAlignment="1">
      <alignment horizontal="center" wrapText="1"/>
    </xf>
    <xf numFmtId="164" fontId="18" fillId="2" borderId="13" xfId="0" applyNumberFormat="1" applyFont="1" applyFill="1" applyBorder="1" applyAlignment="1">
      <alignment horizontal="center" wrapText="1"/>
    </xf>
    <xf numFmtId="164" fontId="18" fillId="2" borderId="36" xfId="0" applyNumberFormat="1" applyFont="1" applyFill="1" applyBorder="1" applyAlignment="1">
      <alignment horizontal="center" wrapText="1"/>
    </xf>
    <xf numFmtId="164" fontId="18" fillId="2" borderId="15" xfId="0" applyNumberFormat="1" applyFont="1" applyFill="1" applyBorder="1" applyAlignment="1">
      <alignment horizontal="center" wrapText="1"/>
    </xf>
    <xf numFmtId="164" fontId="46" fillId="2" borderId="13" xfId="0" applyNumberFormat="1" applyFont="1" applyFill="1" applyBorder="1" applyAlignment="1">
      <alignment horizontal="center" wrapText="1"/>
    </xf>
    <xf numFmtId="164" fontId="46" fillId="2" borderId="36" xfId="0" applyNumberFormat="1" applyFont="1" applyFill="1" applyBorder="1" applyAlignment="1">
      <alignment horizontal="center" wrapText="1"/>
    </xf>
    <xf numFmtId="1" fontId="30" fillId="4" borderId="3" xfId="0" applyNumberFormat="1" applyFont="1" applyFill="1" applyBorder="1" applyAlignment="1">
      <alignment horizontal="center"/>
    </xf>
    <xf numFmtId="0" fontId="31" fillId="4" borderId="2" xfId="0" applyFont="1" applyFill="1" applyBorder="1" applyAlignment="1">
      <alignment horizontal="center" wrapText="1"/>
    </xf>
    <xf numFmtId="1" fontId="30" fillId="4" borderId="2" xfId="0" applyNumberFormat="1" applyFont="1" applyFill="1" applyBorder="1" applyAlignment="1">
      <alignment horizontal="center"/>
    </xf>
    <xf numFmtId="0" fontId="30" fillId="4" borderId="0" xfId="0" applyFont="1" applyFill="1" applyBorder="1" applyAlignment="1">
      <alignment wrapText="1"/>
    </xf>
    <xf numFmtId="0" fontId="30" fillId="4" borderId="0" xfId="0" applyFont="1" applyFill="1" applyBorder="1" applyAlignment="1">
      <alignment horizontal="center"/>
    </xf>
    <xf numFmtId="1" fontId="30" fillId="4" borderId="0" xfId="0" applyNumberFormat="1" applyFont="1" applyFill="1" applyBorder="1" applyAlignment="1">
      <alignment horizontal="center"/>
    </xf>
    <xf numFmtId="0" fontId="31" fillId="4" borderId="3" xfId="0" applyFont="1" applyFill="1" applyBorder="1" applyAlignment="1">
      <alignment horizontal="center" wrapText="1"/>
    </xf>
    <xf numFmtId="164" fontId="6" fillId="2" borderId="1" xfId="0" applyNumberFormat="1" applyFont="1" applyFill="1" applyBorder="1" applyAlignment="1">
      <alignment horizontal="center" wrapText="1"/>
    </xf>
    <xf numFmtId="49" fontId="14" fillId="4" borderId="4" xfId="0" applyNumberFormat="1" applyFont="1" applyFill="1" applyBorder="1" applyAlignment="1">
      <alignment horizontal="left" vertical="center"/>
    </xf>
    <xf numFmtId="0" fontId="14" fillId="4" borderId="4" xfId="0" applyFont="1" applyFill="1" applyBorder="1" applyAlignment="1">
      <alignment horizontal="left" vertical="center" wrapText="1"/>
    </xf>
    <xf numFmtId="0" fontId="14" fillId="4" borderId="4" xfId="0" applyFont="1" applyFill="1" applyBorder="1" applyAlignment="1">
      <alignment horizontal="left" vertical="center"/>
    </xf>
    <xf numFmtId="2" fontId="30" fillId="4" borderId="1" xfId="0" applyNumberFormat="1" applyFont="1" applyFill="1" applyBorder="1" applyAlignment="1">
      <alignment horizontal="center"/>
    </xf>
    <xf numFmtId="2" fontId="30" fillId="4" borderId="1" xfId="0" applyNumberFormat="1" applyFont="1" applyFill="1" applyBorder="1"/>
    <xf numFmtId="2" fontId="30" fillId="4" borderId="3" xfId="0" applyNumberFormat="1" applyFont="1" applyFill="1" applyBorder="1" applyAlignment="1">
      <alignment horizontal="center"/>
    </xf>
    <xf numFmtId="0" fontId="53" fillId="2" borderId="0" xfId="0" applyFont="1" applyFill="1"/>
    <xf numFmtId="0" fontId="2" fillId="2" borderId="6" xfId="0" applyFont="1" applyFill="1" applyBorder="1" applyAlignment="1">
      <alignment horizontal="center" wrapText="1" shrinkToFit="1"/>
    </xf>
    <xf numFmtId="0" fontId="0" fillId="2" borderId="11" xfId="0" applyFill="1" applyBorder="1" applyAlignment="1">
      <alignment horizontal="center"/>
    </xf>
    <xf numFmtId="9" fontId="1" fillId="3" borderId="1" xfId="2" applyFont="1" applyFill="1" applyBorder="1" applyAlignment="1">
      <alignment horizontal="center"/>
    </xf>
    <xf numFmtId="166" fontId="14" fillId="4" borderId="1" xfId="0" applyNumberFormat="1" applyFont="1" applyFill="1" applyBorder="1" applyAlignment="1">
      <alignment horizontal="center"/>
    </xf>
    <xf numFmtId="0" fontId="2" fillId="2" borderId="7" xfId="0" applyFont="1" applyFill="1" applyBorder="1" applyAlignment="1">
      <alignment horizontal="center" wrapText="1" shrinkToFit="1"/>
    </xf>
    <xf numFmtId="0" fontId="55" fillId="2" borderId="0" xfId="0" applyFont="1" applyFill="1"/>
    <xf numFmtId="0" fontId="56" fillId="2" borderId="0" xfId="0" applyFont="1" applyFill="1"/>
    <xf numFmtId="0" fontId="53" fillId="2" borderId="0" xfId="0" applyFont="1" applyFill="1" applyAlignment="1">
      <alignment horizontal="center"/>
    </xf>
    <xf numFmtId="0" fontId="57" fillId="2" borderId="0" xfId="0" applyFont="1" applyFill="1"/>
    <xf numFmtId="0" fontId="1" fillId="3" borderId="9" xfId="0" applyFont="1" applyFill="1" applyBorder="1" applyAlignment="1">
      <alignment horizontal="center"/>
    </xf>
    <xf numFmtId="1" fontId="0" fillId="2" borderId="9" xfId="0" applyNumberFormat="1" applyFill="1" applyBorder="1" applyAlignment="1">
      <alignment horizontal="center"/>
    </xf>
    <xf numFmtId="1" fontId="0" fillId="2" borderId="0" xfId="0" applyNumberFormat="1" applyFill="1" applyBorder="1" applyAlignment="1">
      <alignment horizontal="center"/>
    </xf>
    <xf numFmtId="1" fontId="0" fillId="2" borderId="30" xfId="0" applyNumberFormat="1" applyFill="1" applyBorder="1" applyAlignment="1">
      <alignment horizontal="center"/>
    </xf>
    <xf numFmtId="1" fontId="0" fillId="5" borderId="11" xfId="0" applyNumberFormat="1" applyFill="1" applyBorder="1" applyAlignment="1">
      <alignment horizontal="center"/>
    </xf>
    <xf numFmtId="1" fontId="0" fillId="5" borderId="12" xfId="0" applyNumberFormat="1" applyFill="1" applyBorder="1" applyAlignment="1">
      <alignment horizontal="center"/>
    </xf>
    <xf numFmtId="0" fontId="0" fillId="2" borderId="9" xfId="0" applyFill="1" applyBorder="1" applyAlignment="1">
      <alignment horizontal="center"/>
    </xf>
    <xf numFmtId="1" fontId="1" fillId="3" borderId="9" xfId="0" applyNumberFormat="1" applyFont="1" applyFill="1" applyBorder="1" applyAlignment="1">
      <alignment horizontal="center"/>
    </xf>
    <xf numFmtId="9" fontId="1" fillId="3" borderId="9" xfId="2" applyFont="1" applyFill="1" applyBorder="1" applyAlignment="1">
      <alignment horizontal="center"/>
    </xf>
    <xf numFmtId="9" fontId="0" fillId="2" borderId="0" xfId="0" applyNumberFormat="1" applyFill="1"/>
    <xf numFmtId="164" fontId="0" fillId="2" borderId="11" xfId="0" applyNumberFormat="1" applyFill="1" applyBorder="1" applyAlignment="1">
      <alignment horizontal="center"/>
    </xf>
    <xf numFmtId="164" fontId="0" fillId="2" borderId="12" xfId="0" applyNumberFormat="1" applyFill="1" applyBorder="1" applyAlignment="1">
      <alignment horizontal="center"/>
    </xf>
    <xf numFmtId="0" fontId="0" fillId="2" borderId="7" xfId="0" applyFill="1" applyBorder="1" applyAlignment="1">
      <alignment horizontal="center"/>
    </xf>
    <xf numFmtId="0" fontId="0" fillId="2" borderId="12" xfId="0" applyFill="1" applyBorder="1" applyAlignment="1">
      <alignment horizontal="center"/>
    </xf>
    <xf numFmtId="164" fontId="0" fillId="2" borderId="6" xfId="0" applyNumberFormat="1" applyFill="1" applyBorder="1" applyAlignment="1">
      <alignment horizontal="center"/>
    </xf>
    <xf numFmtId="164" fontId="0" fillId="2" borderId="7" xfId="0" applyNumberFormat="1" applyFill="1" applyBorder="1" applyAlignment="1">
      <alignment horizontal="center"/>
    </xf>
    <xf numFmtId="0" fontId="0" fillId="2" borderId="8" xfId="0" applyFill="1" applyBorder="1"/>
    <xf numFmtId="164" fontId="0" fillId="2" borderId="9" xfId="0" applyNumberFormat="1" applyFill="1" applyBorder="1" applyAlignment="1">
      <alignment horizontal="center"/>
    </xf>
    <xf numFmtId="164" fontId="0" fillId="2" borderId="17" xfId="0" applyNumberFormat="1" applyFill="1" applyBorder="1" applyAlignment="1">
      <alignment horizontal="center"/>
    </xf>
    <xf numFmtId="164" fontId="0" fillId="2" borderId="18" xfId="0" applyNumberFormat="1" applyFill="1" applyBorder="1" applyAlignment="1">
      <alignment horizontal="center"/>
    </xf>
    <xf numFmtId="164" fontId="0" fillId="2" borderId="0" xfId="0" applyNumberFormat="1" applyFill="1" applyBorder="1" applyAlignment="1">
      <alignment horizontal="center"/>
    </xf>
    <xf numFmtId="0" fontId="0" fillId="2" borderId="6" xfId="0" applyFill="1" applyBorder="1" applyAlignment="1">
      <alignment horizontal="center"/>
    </xf>
    <xf numFmtId="0" fontId="1" fillId="3" borderId="4" xfId="0" applyFont="1" applyFill="1" applyBorder="1" applyAlignment="1">
      <alignment horizontal="center"/>
    </xf>
    <xf numFmtId="0" fontId="1" fillId="3" borderId="49" xfId="0" applyFont="1" applyFill="1" applyBorder="1" applyAlignment="1">
      <alignment horizontal="center"/>
    </xf>
    <xf numFmtId="0" fontId="2" fillId="2" borderId="42" xfId="0" applyFont="1" applyFill="1" applyBorder="1" applyAlignment="1">
      <alignment horizontal="center" wrapText="1" shrinkToFit="1"/>
    </xf>
    <xf numFmtId="0" fontId="2" fillId="2" borderId="40" xfId="0" applyFont="1" applyFill="1" applyBorder="1" applyAlignment="1">
      <alignment horizontal="center" wrapText="1" shrinkToFit="1"/>
    </xf>
    <xf numFmtId="0" fontId="1" fillId="2" borderId="30" xfId="0" applyFont="1" applyFill="1" applyBorder="1" applyAlignment="1">
      <alignment horizontal="center"/>
    </xf>
    <xf numFmtId="0" fontId="58" fillId="2" borderId="0" xfId="0" applyFont="1" applyFill="1"/>
    <xf numFmtId="0" fontId="59" fillId="2" borderId="0" xfId="0" applyFont="1" applyFill="1"/>
    <xf numFmtId="0" fontId="60" fillId="2" borderId="37" xfId="0" applyFont="1" applyFill="1" applyBorder="1"/>
    <xf numFmtId="0" fontId="58" fillId="2" borderId="29" xfId="0" applyFont="1" applyFill="1" applyBorder="1"/>
    <xf numFmtId="0" fontId="60" fillId="2" borderId="29" xfId="0" applyFont="1" applyFill="1" applyBorder="1"/>
    <xf numFmtId="0" fontId="58" fillId="2" borderId="43" xfId="0" applyFont="1" applyFill="1" applyBorder="1"/>
    <xf numFmtId="0" fontId="58" fillId="2" borderId="37" xfId="0" applyFont="1" applyFill="1" applyBorder="1"/>
    <xf numFmtId="0" fontId="60" fillId="2" borderId="0" xfId="0" applyFont="1" applyFill="1"/>
    <xf numFmtId="0" fontId="58" fillId="2" borderId="5" xfId="0" applyFont="1" applyFill="1" applyBorder="1"/>
    <xf numFmtId="0" fontId="58" fillId="2" borderId="10" xfId="0" applyFont="1" applyFill="1" applyBorder="1"/>
    <xf numFmtId="0" fontId="58" fillId="2" borderId="0" xfId="0" applyFont="1" applyFill="1" applyBorder="1"/>
    <xf numFmtId="0" fontId="58" fillId="2" borderId="8" xfId="0" applyFont="1" applyFill="1" applyBorder="1"/>
    <xf numFmtId="0" fontId="60" fillId="2" borderId="50" xfId="0" applyFont="1" applyFill="1" applyBorder="1"/>
    <xf numFmtId="0" fontId="60" fillId="2" borderId="0" xfId="0" applyFont="1" applyFill="1" applyBorder="1"/>
    <xf numFmtId="0" fontId="58" fillId="2" borderId="5" xfId="0" applyFont="1" applyFill="1" applyBorder="1" applyAlignment="1">
      <alignment horizontal="left"/>
    </xf>
    <xf numFmtId="0" fontId="58" fillId="2" borderId="8" xfId="0" applyFont="1" applyFill="1" applyBorder="1" applyAlignment="1">
      <alignment horizontal="left"/>
    </xf>
    <xf numFmtId="0" fontId="58" fillId="2" borderId="10" xfId="0" applyFont="1" applyFill="1" applyBorder="1" applyAlignment="1">
      <alignment horizontal="left"/>
    </xf>
    <xf numFmtId="0" fontId="60" fillId="2" borderId="0" xfId="0" applyFont="1" applyFill="1" applyAlignment="1">
      <alignment horizontal="left"/>
    </xf>
    <xf numFmtId="0" fontId="60" fillId="2" borderId="0" xfId="0" applyFont="1" applyFill="1" applyAlignment="1">
      <alignment horizontal="center"/>
    </xf>
    <xf numFmtId="0" fontId="58" fillId="2" borderId="0" xfId="0" applyFont="1" applyFill="1" applyAlignment="1">
      <alignment horizontal="center"/>
    </xf>
    <xf numFmtId="0" fontId="58" fillId="2" borderId="1" xfId="0" applyFont="1" applyFill="1" applyBorder="1" applyAlignment="1">
      <alignment horizontal="center"/>
    </xf>
    <xf numFmtId="1" fontId="58" fillId="2" borderId="1" xfId="0" applyNumberFormat="1" applyFont="1" applyFill="1" applyBorder="1" applyAlignment="1">
      <alignment horizontal="center"/>
    </xf>
    <xf numFmtId="0" fontId="58" fillId="2" borderId="6" xfId="0" applyFont="1" applyFill="1" applyBorder="1" applyAlignment="1">
      <alignment horizontal="center"/>
    </xf>
    <xf numFmtId="0" fontId="58" fillId="2" borderId="7" xfId="0" applyFont="1" applyFill="1" applyBorder="1" applyAlignment="1">
      <alignment horizontal="center"/>
    </xf>
    <xf numFmtId="0" fontId="58" fillId="2" borderId="9" xfId="0" applyFont="1" applyFill="1" applyBorder="1" applyAlignment="1">
      <alignment horizontal="center"/>
    </xf>
    <xf numFmtId="0" fontId="58" fillId="2" borderId="11" xfId="0" applyFont="1" applyFill="1" applyBorder="1" applyAlignment="1">
      <alignment horizontal="center"/>
    </xf>
    <xf numFmtId="0" fontId="58" fillId="2" borderId="12" xfId="0" applyFont="1" applyFill="1" applyBorder="1" applyAlignment="1">
      <alignment horizontal="center"/>
    </xf>
    <xf numFmtId="0" fontId="58" fillId="2" borderId="48" xfId="0" applyFont="1" applyFill="1" applyBorder="1" applyAlignment="1">
      <alignment horizontal="left"/>
    </xf>
    <xf numFmtId="0" fontId="58" fillId="2" borderId="4" xfId="0" applyFont="1" applyFill="1" applyBorder="1" applyAlignment="1">
      <alignment horizontal="center"/>
    </xf>
    <xf numFmtId="0" fontId="58" fillId="2" borderId="49" xfId="0" applyFont="1" applyFill="1" applyBorder="1" applyAlignment="1">
      <alignment horizontal="center"/>
    </xf>
    <xf numFmtId="1" fontId="0" fillId="2" borderId="1" xfId="0" applyNumberFormat="1" applyFont="1" applyFill="1" applyBorder="1" applyAlignment="1">
      <alignment horizontal="center" wrapText="1" shrinkToFit="1"/>
    </xf>
    <xf numFmtId="1" fontId="0" fillId="2" borderId="9" xfId="0" applyNumberFormat="1" applyFont="1" applyFill="1" applyBorder="1" applyAlignment="1">
      <alignment horizontal="center" wrapText="1" shrinkToFit="1"/>
    </xf>
    <xf numFmtId="0" fontId="0" fillId="2" borderId="30" xfId="0" applyFont="1" applyFill="1" applyBorder="1"/>
    <xf numFmtId="164" fontId="18" fillId="2" borderId="14" xfId="0" applyNumberFormat="1" applyFont="1" applyFill="1" applyBorder="1" applyAlignment="1">
      <alignment horizontal="center" wrapText="1"/>
    </xf>
    <xf numFmtId="167" fontId="18" fillId="2" borderId="14" xfId="0" applyNumberFormat="1" applyFont="1" applyFill="1" applyBorder="1" applyAlignment="1">
      <alignment horizontal="center" wrapText="1"/>
    </xf>
    <xf numFmtId="167" fontId="18" fillId="2" borderId="15" xfId="0" applyNumberFormat="1" applyFont="1" applyFill="1" applyBorder="1" applyAlignment="1">
      <alignment horizontal="center" wrapText="1"/>
    </xf>
    <xf numFmtId="165" fontId="18" fillId="2" borderId="15" xfId="0" applyNumberFormat="1" applyFont="1" applyFill="1" applyBorder="1" applyAlignment="1">
      <alignment horizontal="center" wrapText="1"/>
    </xf>
    <xf numFmtId="0" fontId="18" fillId="2" borderId="3" xfId="0" applyFont="1" applyFill="1" applyBorder="1" applyAlignment="1">
      <alignment horizontal="center" wrapText="1"/>
    </xf>
    <xf numFmtId="0" fontId="6" fillId="2" borderId="0" xfId="0" applyFont="1" applyFill="1" applyBorder="1" applyAlignment="1">
      <alignment horizontal="right"/>
    </xf>
    <xf numFmtId="0" fontId="0" fillId="2" borderId="0" xfId="0" applyFont="1" applyFill="1" applyBorder="1" applyAlignment="1">
      <alignment horizontal="center"/>
    </xf>
    <xf numFmtId="0" fontId="0" fillId="2" borderId="0" xfId="0" applyFont="1" applyFill="1" applyBorder="1" applyAlignment="1">
      <alignment wrapText="1"/>
    </xf>
    <xf numFmtId="0" fontId="0" fillId="2" borderId="6" xfId="0" applyFill="1" applyBorder="1" applyAlignment="1">
      <alignment wrapText="1"/>
    </xf>
    <xf numFmtId="0" fontId="1" fillId="3" borderId="6" xfId="0" applyFont="1" applyFill="1" applyBorder="1" applyAlignment="1">
      <alignment horizontal="center"/>
    </xf>
    <xf numFmtId="0" fontId="1" fillId="3" borderId="7" xfId="0" applyFont="1" applyFill="1" applyBorder="1" applyAlignment="1">
      <alignment horizontal="center"/>
    </xf>
    <xf numFmtId="0" fontId="0" fillId="2" borderId="30" xfId="0" applyFill="1" applyBorder="1" applyAlignment="1">
      <alignment horizontal="center"/>
    </xf>
    <xf numFmtId="0" fontId="0" fillId="2" borderId="30" xfId="0" applyFont="1" applyFill="1" applyBorder="1" applyAlignment="1">
      <alignment wrapText="1"/>
    </xf>
    <xf numFmtId="0" fontId="0" fillId="2" borderId="11" xfId="0" applyFont="1" applyFill="1" applyBorder="1" applyAlignment="1">
      <alignment horizontal="center"/>
    </xf>
    <xf numFmtId="0" fontId="0" fillId="2" borderId="10" xfId="0" applyFill="1" applyBorder="1" applyAlignment="1"/>
    <xf numFmtId="0" fontId="30" fillId="4" borderId="1" xfId="0" applyFont="1" applyFill="1" applyBorder="1" applyAlignment="1">
      <alignment horizontal="center"/>
    </xf>
    <xf numFmtId="0" fontId="58" fillId="2" borderId="0" xfId="0" applyFont="1" applyFill="1" applyBorder="1" applyAlignment="1">
      <alignment horizontal="center"/>
    </xf>
    <xf numFmtId="0" fontId="53" fillId="2" borderId="0" xfId="0" applyFont="1" applyFill="1" applyBorder="1"/>
    <xf numFmtId="0" fontId="1" fillId="3" borderId="8" xfId="0" applyFont="1" applyFill="1" applyBorder="1"/>
    <xf numFmtId="0" fontId="1" fillId="3" borderId="10" xfId="0" applyFont="1" applyFill="1" applyBorder="1" applyAlignment="1">
      <alignment horizontal="center" vertical="top"/>
    </xf>
    <xf numFmtId="0" fontId="1" fillId="3" borderId="12" xfId="0" applyFont="1" applyFill="1" applyBorder="1" applyAlignment="1">
      <alignment horizontal="center" vertical="top"/>
    </xf>
    <xf numFmtId="0" fontId="63" fillId="2" borderId="44" xfId="0" applyFont="1" applyFill="1" applyBorder="1"/>
    <xf numFmtId="0" fontId="63" fillId="2" borderId="0" xfId="0" applyFont="1" applyFill="1" applyBorder="1"/>
    <xf numFmtId="0" fontId="63" fillId="2" borderId="0" xfId="0" applyFont="1" applyFill="1" applyBorder="1" applyAlignment="1">
      <alignment vertical="top"/>
    </xf>
    <xf numFmtId="0" fontId="63" fillId="2" borderId="46" xfId="0" applyFont="1" applyFill="1" applyBorder="1"/>
    <xf numFmtId="0" fontId="63" fillId="4" borderId="0" xfId="0" applyFont="1" applyFill="1"/>
    <xf numFmtId="0" fontId="63" fillId="2" borderId="29" xfId="0" applyFont="1" applyFill="1" applyBorder="1"/>
    <xf numFmtId="0" fontId="63" fillId="2" borderId="29" xfId="0" applyFont="1" applyFill="1" applyBorder="1" applyAlignment="1">
      <alignment vertical="top"/>
    </xf>
    <xf numFmtId="0" fontId="63" fillId="2" borderId="37" xfId="0" applyFont="1" applyFill="1" applyBorder="1"/>
    <xf numFmtId="0" fontId="63" fillId="2" borderId="43" xfId="0" applyFont="1" applyFill="1" applyBorder="1"/>
    <xf numFmtId="0" fontId="0" fillId="2" borderId="0" xfId="0" applyFont="1" applyFill="1" applyBorder="1" applyAlignment="1"/>
    <xf numFmtId="0" fontId="63" fillId="2" borderId="29" xfId="0" applyFont="1" applyFill="1" applyBorder="1" applyAlignment="1">
      <alignment vertical="center"/>
    </xf>
    <xf numFmtId="0" fontId="63" fillId="2" borderId="0" xfId="0" applyFont="1" applyFill="1" applyBorder="1" applyAlignment="1">
      <alignment vertical="center"/>
    </xf>
    <xf numFmtId="0" fontId="0" fillId="2" borderId="5" xfId="0" applyFill="1" applyBorder="1" applyAlignment="1">
      <alignment vertical="center"/>
    </xf>
    <xf numFmtId="0" fontId="0" fillId="2" borderId="6" xfId="0" applyFill="1" applyBorder="1" applyAlignment="1">
      <alignment horizontal="center" vertical="center"/>
    </xf>
    <xf numFmtId="0" fontId="0" fillId="2" borderId="6" xfId="0" applyFill="1" applyBorder="1" applyAlignment="1">
      <alignment vertical="center" wrapText="1"/>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0" fillId="2" borderId="30" xfId="0" applyFill="1" applyBorder="1" applyAlignment="1">
      <alignment vertical="center"/>
    </xf>
    <xf numFmtId="0" fontId="63" fillId="2" borderId="29" xfId="0" applyFont="1" applyFill="1" applyBorder="1" applyAlignment="1"/>
    <xf numFmtId="0" fontId="63" fillId="2" borderId="0" xfId="0" applyFont="1" applyFill="1" applyBorder="1" applyAlignment="1"/>
    <xf numFmtId="0" fontId="0" fillId="2" borderId="5" xfId="0" applyFill="1" applyBorder="1" applyAlignment="1"/>
    <xf numFmtId="0" fontId="7" fillId="2" borderId="44" xfId="0" applyFont="1" applyFill="1" applyBorder="1" applyAlignment="1">
      <alignment horizontal="right"/>
    </xf>
    <xf numFmtId="0" fontId="0" fillId="2" borderId="30" xfId="0" applyFill="1" applyBorder="1" applyAlignment="1"/>
    <xf numFmtId="0" fontId="0" fillId="2" borderId="8" xfId="0" applyFill="1" applyBorder="1" applyAlignment="1"/>
    <xf numFmtId="0" fontId="0" fillId="2" borderId="29" xfId="0" applyFont="1" applyFill="1" applyBorder="1" applyAlignment="1"/>
    <xf numFmtId="0" fontId="0" fillId="2" borderId="30" xfId="0" applyFont="1" applyFill="1" applyBorder="1" applyAlignment="1"/>
    <xf numFmtId="0" fontId="3" fillId="2" borderId="29" xfId="0" applyFont="1" applyFill="1" applyBorder="1" applyAlignment="1"/>
    <xf numFmtId="0" fontId="0" fillId="2" borderId="5" xfId="0" applyFont="1" applyFill="1" applyBorder="1" applyAlignment="1">
      <alignment vertical="center"/>
    </xf>
    <xf numFmtId="0" fontId="0" fillId="2" borderId="6" xfId="0" applyFont="1" applyFill="1" applyBorder="1" applyAlignment="1">
      <alignment horizontal="center" vertical="center"/>
    </xf>
    <xf numFmtId="0" fontId="0" fillId="2" borderId="6" xfId="0" applyFont="1" applyFill="1" applyBorder="1" applyAlignment="1">
      <alignment vertical="center" wrapText="1"/>
    </xf>
    <xf numFmtId="0" fontId="6" fillId="2" borderId="44" xfId="0" applyFont="1" applyFill="1" applyBorder="1" applyAlignment="1">
      <alignment horizontal="left" vertical="center"/>
    </xf>
    <xf numFmtId="0" fontId="6" fillId="2" borderId="44" xfId="0" applyFont="1" applyFill="1" applyBorder="1" applyAlignment="1">
      <alignment horizontal="center" vertical="center" wrapText="1"/>
    </xf>
    <xf numFmtId="0" fontId="1" fillId="3" borderId="28" xfId="0" applyFont="1" applyFill="1" applyBorder="1" applyAlignment="1">
      <alignment horizontal="center" vertical="center"/>
    </xf>
    <xf numFmtId="0" fontId="0" fillId="2" borderId="30" xfId="0" applyFont="1" applyFill="1" applyBorder="1" applyAlignment="1">
      <alignment vertical="center"/>
    </xf>
    <xf numFmtId="0" fontId="0" fillId="2" borderId="8" xfId="0" applyFill="1" applyBorder="1" applyAlignment="1">
      <alignment vertical="center"/>
    </xf>
    <xf numFmtId="0" fontId="0" fillId="2" borderId="1" xfId="0" applyFill="1" applyBorder="1" applyAlignment="1">
      <alignment horizontal="center" vertical="center"/>
    </xf>
    <xf numFmtId="0" fontId="6" fillId="2" borderId="0" xfId="0" applyFont="1" applyFill="1" applyBorder="1" applyAlignment="1">
      <alignment horizontal="left" vertical="center"/>
    </xf>
    <xf numFmtId="0" fontId="6" fillId="2" borderId="0" xfId="0" applyFont="1" applyFill="1" applyBorder="1" applyAlignment="1">
      <alignment horizontal="center" vertical="center" wrapText="1"/>
    </xf>
    <xf numFmtId="0" fontId="1" fillId="3" borderId="1" xfId="0" applyFont="1" applyFill="1" applyBorder="1" applyAlignment="1">
      <alignment horizontal="center" vertical="center"/>
    </xf>
    <xf numFmtId="0" fontId="1" fillId="3" borderId="3" xfId="0" applyFont="1" applyFill="1" applyBorder="1" applyAlignment="1">
      <alignment horizontal="center" vertical="center"/>
    </xf>
    <xf numFmtId="0" fontId="1" fillId="3" borderId="9" xfId="0" applyFont="1" applyFill="1" applyBorder="1" applyAlignment="1">
      <alignment horizontal="center" vertical="center"/>
    </xf>
    <xf numFmtId="0" fontId="0" fillId="2" borderId="29" xfId="0" applyFont="1" applyFill="1" applyBorder="1" applyAlignment="1">
      <alignment vertical="center"/>
    </xf>
    <xf numFmtId="0" fontId="0" fillId="2" borderId="0" xfId="0" applyFont="1" applyFill="1" applyBorder="1" applyAlignment="1">
      <alignment horizontal="center" vertical="center"/>
    </xf>
    <xf numFmtId="0" fontId="0" fillId="2" borderId="0" xfId="0" applyFont="1" applyFill="1" applyBorder="1" applyAlignment="1">
      <alignment vertical="center" wrapText="1"/>
    </xf>
    <xf numFmtId="0" fontId="3" fillId="2" borderId="29" xfId="0" applyFont="1" applyFill="1" applyBorder="1" applyAlignment="1">
      <alignment vertical="center"/>
    </xf>
    <xf numFmtId="0" fontId="0" fillId="2" borderId="0" xfId="0" applyFill="1" applyBorder="1" applyAlignment="1">
      <alignment horizontal="center" vertical="center"/>
    </xf>
    <xf numFmtId="0" fontId="0" fillId="2" borderId="0" xfId="0" applyFill="1" applyBorder="1" applyAlignment="1">
      <alignment vertical="center" wrapText="1"/>
    </xf>
    <xf numFmtId="0" fontId="0" fillId="2" borderId="30" xfId="0" applyFill="1" applyBorder="1" applyAlignment="1">
      <alignment horizontal="center" vertical="center"/>
    </xf>
    <xf numFmtId="0" fontId="0" fillId="2" borderId="1" xfId="0" applyFont="1" applyFill="1" applyBorder="1" applyAlignment="1">
      <alignment horizontal="center" vertical="center"/>
    </xf>
    <xf numFmtId="1" fontId="0" fillId="2" borderId="1" xfId="0" applyNumberFormat="1" applyFill="1" applyBorder="1" applyAlignment="1">
      <alignment horizontal="center" vertical="center"/>
    </xf>
    <xf numFmtId="1" fontId="0" fillId="2" borderId="9" xfId="0" applyNumberFormat="1" applyFill="1" applyBorder="1" applyAlignment="1">
      <alignment horizontal="center" vertical="center"/>
    </xf>
    <xf numFmtId="0" fontId="0" fillId="2" borderId="10" xfId="0" applyFill="1" applyBorder="1" applyAlignment="1">
      <alignment vertical="center"/>
    </xf>
    <xf numFmtId="0" fontId="0" fillId="2" borderId="11" xfId="0" applyFont="1" applyFill="1" applyBorder="1" applyAlignment="1">
      <alignment horizontal="center" vertical="center"/>
    </xf>
    <xf numFmtId="0" fontId="0" fillId="2" borderId="46" xfId="0" applyFill="1" applyBorder="1" applyAlignment="1">
      <alignment vertical="center" wrapText="1"/>
    </xf>
    <xf numFmtId="0" fontId="6" fillId="2" borderId="46" xfId="0" applyFont="1" applyFill="1" applyBorder="1" applyAlignment="1">
      <alignment horizontal="center" vertical="center" wrapText="1"/>
    </xf>
    <xf numFmtId="1" fontId="0" fillId="2" borderId="11" xfId="0" applyNumberFormat="1" applyFill="1" applyBorder="1" applyAlignment="1">
      <alignment horizontal="center" vertical="center"/>
    </xf>
    <xf numFmtId="1" fontId="0" fillId="2" borderId="12" xfId="0" applyNumberFormat="1" applyFill="1" applyBorder="1" applyAlignment="1">
      <alignment horizontal="center" vertical="center"/>
    </xf>
    <xf numFmtId="0" fontId="0" fillId="2" borderId="8" xfId="0" applyFont="1" applyFill="1" applyBorder="1" applyAlignment="1">
      <alignment vertical="center"/>
    </xf>
    <xf numFmtId="0" fontId="0" fillId="2" borderId="1" xfId="0" applyFont="1" applyFill="1" applyBorder="1" applyAlignment="1">
      <alignment vertical="center" wrapText="1"/>
    </xf>
    <xf numFmtId="0" fontId="0" fillId="2" borderId="30" xfId="0" applyFont="1" applyFill="1" applyBorder="1" applyAlignment="1">
      <alignment vertical="center" wrapText="1"/>
    </xf>
    <xf numFmtId="0" fontId="0" fillId="2" borderId="0" xfId="0" applyFill="1" applyBorder="1" applyAlignment="1">
      <alignment vertical="center"/>
    </xf>
    <xf numFmtId="0" fontId="0" fillId="2" borderId="11" xfId="0" applyFill="1" applyBorder="1" applyAlignment="1">
      <alignment horizontal="center" vertical="center"/>
    </xf>
    <xf numFmtId="0" fontId="0" fillId="2" borderId="46" xfId="0" applyFill="1" applyBorder="1" applyAlignment="1">
      <alignment vertical="center"/>
    </xf>
    <xf numFmtId="0" fontId="0" fillId="2" borderId="6"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10" xfId="0" applyFont="1" applyFill="1" applyBorder="1" applyAlignment="1">
      <alignment vertical="center"/>
    </xf>
    <xf numFmtId="0" fontId="0" fillId="2" borderId="11" xfId="0" applyFont="1" applyFill="1" applyBorder="1" applyAlignment="1">
      <alignment horizontal="left" vertical="center" wrapText="1"/>
    </xf>
    <xf numFmtId="0" fontId="1" fillId="3" borderId="11" xfId="0" applyFont="1" applyFill="1" applyBorder="1" applyAlignment="1">
      <alignment horizontal="center" vertical="center"/>
    </xf>
    <xf numFmtId="0" fontId="1" fillId="3" borderId="12" xfId="0" applyFont="1" applyFill="1" applyBorder="1" applyAlignment="1">
      <alignment horizontal="center" vertical="center"/>
    </xf>
    <xf numFmtId="2" fontId="0" fillId="2" borderId="1" xfId="0" applyNumberFormat="1" applyFill="1" applyBorder="1" applyAlignment="1">
      <alignment horizontal="center" vertical="center"/>
    </xf>
    <xf numFmtId="2" fontId="0" fillId="2" borderId="9" xfId="0" applyNumberFormat="1" applyFill="1" applyBorder="1" applyAlignment="1">
      <alignment horizontal="center" vertical="center"/>
    </xf>
    <xf numFmtId="164" fontId="0" fillId="2" borderId="1" xfId="0" applyNumberFormat="1" applyFill="1" applyBorder="1" applyAlignment="1">
      <alignment horizontal="center" vertical="center"/>
    </xf>
    <xf numFmtId="164" fontId="0" fillId="2" borderId="9" xfId="0" applyNumberFormat="1" applyFill="1" applyBorder="1" applyAlignment="1">
      <alignment horizontal="center" vertical="center"/>
    </xf>
    <xf numFmtId="164" fontId="0" fillId="2" borderId="11" xfId="0" applyNumberFormat="1" applyFill="1" applyBorder="1" applyAlignment="1">
      <alignment horizontal="center" vertical="center"/>
    </xf>
    <xf numFmtId="164" fontId="0" fillId="2" borderId="12" xfId="0" applyNumberFormat="1" applyFill="1" applyBorder="1" applyAlignment="1">
      <alignment horizontal="center" vertical="center"/>
    </xf>
    <xf numFmtId="0" fontId="2" fillId="2" borderId="44" xfId="0" applyFont="1" applyFill="1" applyBorder="1" applyAlignment="1">
      <alignment vertical="center" wrapText="1"/>
    </xf>
    <xf numFmtId="0" fontId="7" fillId="2" borderId="44" xfId="0" applyFont="1" applyFill="1" applyBorder="1" applyAlignment="1">
      <alignment horizontal="center" vertical="center" wrapText="1"/>
    </xf>
    <xf numFmtId="0" fontId="0" fillId="2" borderId="7" xfId="0" applyFont="1" applyFill="1" applyBorder="1" applyAlignment="1">
      <alignment horizontal="center" vertical="center"/>
    </xf>
    <xf numFmtId="0" fontId="2" fillId="2" borderId="30" xfId="0" applyFont="1" applyFill="1" applyBorder="1" applyAlignment="1">
      <alignment vertical="center"/>
    </xf>
    <xf numFmtId="0" fontId="0" fillId="2" borderId="29" xfId="0" applyFill="1" applyBorder="1" applyAlignment="1">
      <alignment vertical="center"/>
    </xf>
    <xf numFmtId="0" fontId="0" fillId="2" borderId="12" xfId="0" applyFill="1" applyBorder="1" applyAlignment="1">
      <alignment horizontal="center" vertical="center"/>
    </xf>
    <xf numFmtId="0" fontId="0" fillId="2" borderId="50" xfId="0" applyFill="1" applyBorder="1" applyAlignment="1">
      <alignment vertical="center"/>
    </xf>
    <xf numFmtId="0" fontId="0" fillId="2" borderId="17" xfId="0" applyFill="1" applyBorder="1" applyAlignment="1">
      <alignment horizontal="center" vertical="center"/>
    </xf>
    <xf numFmtId="0" fontId="0" fillId="2" borderId="17" xfId="0" applyFill="1" applyBorder="1" applyAlignment="1">
      <alignment vertical="center" wrapText="1"/>
    </xf>
    <xf numFmtId="0" fontId="6" fillId="2" borderId="20" xfId="0" applyFont="1" applyFill="1" applyBorder="1" applyAlignment="1">
      <alignment horizontal="center" vertical="center" wrapText="1"/>
    </xf>
    <xf numFmtId="0" fontId="1" fillId="3" borderId="17"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10" xfId="0" applyFont="1" applyFill="1" applyBorder="1" applyAlignment="1">
      <alignment horizontal="center" vertical="center"/>
    </xf>
    <xf numFmtId="0" fontId="0" fillId="4" borderId="0" xfId="0" applyFill="1" applyAlignment="1">
      <alignment vertical="top"/>
    </xf>
    <xf numFmtId="0" fontId="0" fillId="4" borderId="0" xfId="0" applyFill="1" applyBorder="1"/>
    <xf numFmtId="0" fontId="0" fillId="4" borderId="0" xfId="0" applyFill="1" applyAlignment="1">
      <alignment vertical="center"/>
    </xf>
    <xf numFmtId="0" fontId="0" fillId="4" borderId="0" xfId="0" applyFont="1" applyFill="1" applyAlignment="1">
      <alignment vertical="center"/>
    </xf>
    <xf numFmtId="0" fontId="0" fillId="4" borderId="0" xfId="0" applyFill="1" applyAlignment="1"/>
    <xf numFmtId="0" fontId="0" fillId="4" borderId="0" xfId="0" applyFont="1" applyFill="1" applyAlignment="1"/>
    <xf numFmtId="0" fontId="2" fillId="4" borderId="0" xfId="0" applyFont="1" applyFill="1" applyAlignment="1">
      <alignment vertical="center"/>
    </xf>
    <xf numFmtId="0" fontId="0" fillId="4" borderId="0" xfId="0" applyFont="1" applyFill="1"/>
    <xf numFmtId="0" fontId="23" fillId="2" borderId="37" xfId="0" applyFont="1" applyFill="1" applyBorder="1"/>
    <xf numFmtId="0" fontId="21" fillId="4" borderId="0" xfId="0" applyFont="1" applyFill="1" applyAlignment="1">
      <alignment horizontal="left"/>
    </xf>
    <xf numFmtId="164" fontId="14" fillId="4" borderId="46" xfId="0" applyNumberFormat="1" applyFont="1" applyFill="1" applyBorder="1" applyAlignment="1">
      <alignment horizontal="center"/>
    </xf>
    <xf numFmtId="164" fontId="14" fillId="4" borderId="47" xfId="0" applyNumberFormat="1" applyFont="1" applyFill="1" applyBorder="1" applyAlignment="1">
      <alignment horizontal="center"/>
    </xf>
    <xf numFmtId="0" fontId="21" fillId="4" borderId="0" xfId="0" applyFont="1" applyFill="1" applyBorder="1"/>
    <xf numFmtId="0" fontId="21" fillId="4" borderId="1" xfId="0" applyFont="1" applyFill="1" applyBorder="1" applyAlignment="1">
      <alignment horizontal="center"/>
    </xf>
    <xf numFmtId="164" fontId="0" fillId="2" borderId="6" xfId="0" applyNumberFormat="1" applyFont="1" applyFill="1" applyBorder="1" applyAlignment="1">
      <alignment horizontal="center" vertical="center"/>
    </xf>
    <xf numFmtId="164" fontId="0" fillId="2" borderId="7" xfId="0" applyNumberFormat="1" applyFont="1" applyFill="1" applyBorder="1" applyAlignment="1">
      <alignment horizontal="center" vertical="center"/>
    </xf>
    <xf numFmtId="164" fontId="0" fillId="2" borderId="1" xfId="0" applyNumberFormat="1" applyFont="1" applyFill="1" applyBorder="1" applyAlignment="1">
      <alignment horizontal="center" vertical="center"/>
    </xf>
    <xf numFmtId="164" fontId="0" fillId="2" borderId="9" xfId="0" applyNumberFormat="1" applyFont="1" applyFill="1" applyBorder="1" applyAlignment="1">
      <alignment horizontal="center" vertical="center"/>
    </xf>
    <xf numFmtId="0" fontId="66" fillId="2" borderId="29" xfId="0" applyFont="1" applyFill="1" applyBorder="1" applyAlignment="1">
      <alignment vertical="center"/>
    </xf>
    <xf numFmtId="0" fontId="66" fillId="2" borderId="0" xfId="0" applyFont="1" applyFill="1" applyBorder="1" applyAlignment="1">
      <alignment vertical="center"/>
    </xf>
    <xf numFmtId="164" fontId="0" fillId="2" borderId="11" xfId="0" applyNumberFormat="1" applyFont="1" applyFill="1" applyBorder="1" applyAlignment="1">
      <alignment horizontal="center" vertical="center"/>
    </xf>
    <xf numFmtId="164" fontId="0" fillId="2" borderId="12" xfId="0" applyNumberFormat="1" applyFont="1" applyFill="1" applyBorder="1" applyAlignment="1">
      <alignment horizontal="center" vertical="center"/>
    </xf>
    <xf numFmtId="2" fontId="1" fillId="2" borderId="30" xfId="0" applyNumberFormat="1" applyFont="1" applyFill="1" applyBorder="1" applyAlignment="1">
      <alignment horizontal="center"/>
    </xf>
    <xf numFmtId="0" fontId="2" fillId="2" borderId="30" xfId="0" applyFont="1" applyFill="1" applyBorder="1" applyAlignment="1">
      <alignment horizontal="center"/>
    </xf>
    <xf numFmtId="0" fontId="3" fillId="2" borderId="37" xfId="0" applyFont="1" applyFill="1" applyBorder="1"/>
    <xf numFmtId="0" fontId="3" fillId="2" borderId="44" xfId="0" applyFont="1" applyFill="1" applyBorder="1" applyAlignment="1">
      <alignment horizontal="center"/>
    </xf>
    <xf numFmtId="0" fontId="3" fillId="2" borderId="44" xfId="0" applyFont="1" applyFill="1" applyBorder="1" applyAlignment="1"/>
    <xf numFmtId="0" fontId="3" fillId="2" borderId="29" xfId="0" applyFont="1" applyFill="1" applyBorder="1"/>
    <xf numFmtId="0" fontId="0" fillId="2" borderId="29" xfId="0" applyFill="1" applyBorder="1"/>
    <xf numFmtId="0" fontId="1" fillId="3" borderId="1" xfId="0" applyFont="1" applyFill="1" applyBorder="1" applyAlignment="1">
      <alignment horizontal="left" vertical="center" wrapText="1"/>
    </xf>
    <xf numFmtId="164" fontId="6" fillId="2" borderId="0" xfId="0" applyNumberFormat="1" applyFont="1" applyFill="1" applyBorder="1" applyAlignment="1">
      <alignment horizontal="center" wrapText="1"/>
    </xf>
    <xf numFmtId="1" fontId="1" fillId="2" borderId="30" xfId="0" applyNumberFormat="1" applyFont="1" applyFill="1" applyBorder="1" applyAlignment="1">
      <alignment horizontal="center"/>
    </xf>
    <xf numFmtId="0" fontId="2" fillId="2" borderId="41" xfId="0" applyFont="1" applyFill="1" applyBorder="1" applyAlignment="1">
      <alignment horizontal="center" textRotation="90" wrapText="1" shrinkToFit="1"/>
    </xf>
    <xf numFmtId="0" fontId="2" fillId="2" borderId="45" xfId="0" applyFont="1" applyFill="1" applyBorder="1" applyAlignment="1">
      <alignment horizontal="center" textRotation="90" wrapText="1" shrinkToFit="1"/>
    </xf>
    <xf numFmtId="0" fontId="5" fillId="3" borderId="5" xfId="0" applyFont="1" applyFill="1" applyBorder="1" applyAlignment="1" applyProtection="1">
      <alignment horizontal="center" textRotation="90" wrapText="1" shrinkToFit="1"/>
    </xf>
    <xf numFmtId="0" fontId="5" fillId="3" borderId="6" xfId="0" applyFont="1" applyFill="1" applyBorder="1" applyAlignment="1" applyProtection="1">
      <alignment horizontal="center" textRotation="90" wrapText="1" shrinkToFit="1"/>
    </xf>
    <xf numFmtId="0" fontId="5" fillId="3" borderId="7" xfId="0" applyFont="1" applyFill="1" applyBorder="1" applyAlignment="1" applyProtection="1">
      <alignment horizontal="center" textRotation="90" wrapText="1" shrinkToFit="1"/>
    </xf>
    <xf numFmtId="0" fontId="2" fillId="2" borderId="39" xfId="0" applyFont="1" applyFill="1" applyBorder="1" applyAlignment="1">
      <alignment horizontal="center" textRotation="90" wrapText="1" shrinkToFit="1"/>
    </xf>
    <xf numFmtId="0" fontId="67" fillId="2" borderId="0" xfId="0" applyFont="1" applyFill="1" applyBorder="1" applyAlignment="1">
      <alignment horizontal="center" vertical="center"/>
    </xf>
    <xf numFmtId="0" fontId="67" fillId="2" borderId="30" xfId="0" applyFont="1" applyFill="1" applyBorder="1" applyAlignment="1">
      <alignment horizontal="center" vertical="center"/>
    </xf>
    <xf numFmtId="0" fontId="67" fillId="2" borderId="0" xfId="0" applyFont="1" applyFill="1" applyBorder="1" applyAlignment="1">
      <alignment horizontal="right" vertical="center"/>
    </xf>
    <xf numFmtId="0" fontId="0" fillId="2" borderId="11" xfId="0" applyFont="1" applyFill="1" applyBorder="1" applyAlignment="1">
      <alignment horizontal="left"/>
    </xf>
    <xf numFmtId="0" fontId="0" fillId="2" borderId="29" xfId="0" applyFont="1" applyFill="1" applyBorder="1"/>
    <xf numFmtId="0" fontId="66" fillId="2" borderId="0" xfId="0" applyFont="1" applyFill="1" applyBorder="1"/>
    <xf numFmtId="2" fontId="18" fillId="2" borderId="13" xfId="0" applyNumberFormat="1" applyFont="1" applyFill="1" applyBorder="1" applyAlignment="1">
      <alignment horizontal="center" wrapText="1"/>
    </xf>
    <xf numFmtId="2" fontId="18" fillId="2" borderId="36" xfId="0" applyNumberFormat="1" applyFont="1" applyFill="1" applyBorder="1" applyAlignment="1">
      <alignment horizontal="center" wrapText="1"/>
    </xf>
    <xf numFmtId="2" fontId="18" fillId="2" borderId="15" xfId="0" applyNumberFormat="1" applyFont="1" applyFill="1" applyBorder="1" applyAlignment="1">
      <alignment horizontal="center" wrapText="1"/>
    </xf>
    <xf numFmtId="2" fontId="46" fillId="2" borderId="13" xfId="0" applyNumberFormat="1" applyFont="1" applyFill="1" applyBorder="1" applyAlignment="1">
      <alignment horizontal="center" wrapText="1"/>
    </xf>
    <xf numFmtId="2" fontId="46" fillId="2" borderId="36" xfId="0" applyNumberFormat="1" applyFont="1" applyFill="1" applyBorder="1" applyAlignment="1">
      <alignment horizontal="center" wrapText="1"/>
    </xf>
    <xf numFmtId="2" fontId="21" fillId="4" borderId="1" xfId="0" applyNumberFormat="1" applyFont="1" applyFill="1" applyBorder="1" applyAlignment="1">
      <alignment horizontal="center"/>
    </xf>
    <xf numFmtId="0" fontId="0" fillId="2" borderId="62" xfId="0" applyFill="1" applyBorder="1" applyAlignment="1">
      <alignment vertical="center"/>
    </xf>
    <xf numFmtId="1" fontId="0" fillId="2" borderId="33" xfId="0" applyNumberFormat="1" applyFill="1" applyBorder="1" applyAlignment="1">
      <alignment horizontal="center" vertical="center"/>
    </xf>
    <xf numFmtId="1" fontId="0" fillId="2" borderId="61" xfId="0" applyNumberFormat="1" applyFill="1" applyBorder="1" applyAlignment="1">
      <alignment horizontal="center" vertical="center"/>
    </xf>
    <xf numFmtId="2" fontId="41" fillId="4" borderId="1" xfId="0" applyNumberFormat="1" applyFont="1" applyFill="1" applyBorder="1" applyAlignment="1">
      <alignment horizontal="center"/>
    </xf>
    <xf numFmtId="1" fontId="41" fillId="4" borderId="1" xfId="0" applyNumberFormat="1" applyFont="1" applyFill="1" applyBorder="1" applyAlignment="1">
      <alignment horizontal="center"/>
    </xf>
    <xf numFmtId="0" fontId="14" fillId="4" borderId="0" xfId="0" quotePrefix="1" applyFont="1" applyFill="1"/>
    <xf numFmtId="0" fontId="0" fillId="2" borderId="33" xfId="0" applyFont="1" applyFill="1" applyBorder="1" applyAlignment="1">
      <alignment horizontal="center" vertical="center"/>
    </xf>
    <xf numFmtId="167" fontId="18" fillId="2" borderId="3" xfId="0" applyNumberFormat="1" applyFont="1" applyFill="1" applyBorder="1" applyAlignment="1">
      <alignment horizontal="center" wrapText="1"/>
    </xf>
    <xf numFmtId="167" fontId="18" fillId="2" borderId="27" xfId="0" applyNumberFormat="1" applyFont="1" applyFill="1" applyBorder="1" applyAlignment="1">
      <alignment horizontal="center" wrapText="1"/>
    </xf>
    <xf numFmtId="167" fontId="46" fillId="3" borderId="2" xfId="0" applyNumberFormat="1" applyFont="1" applyFill="1" applyBorder="1" applyAlignment="1">
      <alignment horizontal="center" wrapText="1"/>
    </xf>
    <xf numFmtId="167" fontId="46" fillId="3" borderId="56" xfId="0" applyNumberFormat="1" applyFont="1" applyFill="1" applyBorder="1" applyAlignment="1">
      <alignment horizontal="center" wrapText="1"/>
    </xf>
    <xf numFmtId="0" fontId="0" fillId="4" borderId="0" xfId="0" quotePrefix="1" applyFill="1"/>
    <xf numFmtId="0" fontId="0" fillId="4" borderId="0" xfId="0" applyFill="1" applyAlignment="1">
      <alignment horizontal="center" vertical="top" wrapText="1"/>
    </xf>
    <xf numFmtId="164" fontId="0" fillId="4" borderId="0" xfId="0" applyNumberFormat="1" applyFill="1" applyAlignment="1">
      <alignment horizontal="center"/>
    </xf>
    <xf numFmtId="1" fontId="0" fillId="4" borderId="0" xfId="0" applyNumberFormat="1" applyFill="1" applyAlignment="1">
      <alignment horizontal="center"/>
    </xf>
    <xf numFmtId="0" fontId="15" fillId="2" borderId="40" xfId="0" applyFont="1" applyFill="1" applyBorder="1" applyAlignment="1">
      <alignment horizontal="center" wrapText="1"/>
    </xf>
    <xf numFmtId="0" fontId="0" fillId="2" borderId="33" xfId="0" applyFill="1" applyBorder="1" applyAlignment="1">
      <alignment horizontal="center" vertical="center"/>
    </xf>
    <xf numFmtId="2" fontId="0" fillId="2" borderId="33" xfId="0" applyNumberFormat="1" applyFill="1" applyBorder="1" applyAlignment="1">
      <alignment horizontal="center" vertical="center"/>
    </xf>
    <xf numFmtId="2" fontId="0" fillId="2" borderId="61" xfId="0" applyNumberFormat="1" applyFill="1" applyBorder="1" applyAlignment="1">
      <alignment horizontal="center" vertical="center"/>
    </xf>
    <xf numFmtId="2" fontId="0" fillId="2" borderId="11" xfId="0" applyNumberFormat="1" applyFill="1" applyBorder="1" applyAlignment="1">
      <alignment horizontal="center" vertical="center"/>
    </xf>
    <xf numFmtId="0" fontId="0" fillId="2" borderId="2" xfId="0" applyFill="1" applyBorder="1" applyAlignment="1">
      <alignment wrapText="1"/>
    </xf>
    <xf numFmtId="0" fontId="0" fillId="2" borderId="2" xfId="0" applyFill="1" applyBorder="1" applyAlignment="1">
      <alignment vertical="center" wrapText="1"/>
    </xf>
    <xf numFmtId="1" fontId="1" fillId="3" borderId="3" xfId="0" applyNumberFormat="1" applyFont="1" applyFill="1" applyBorder="1" applyAlignment="1">
      <alignment horizontal="center"/>
    </xf>
    <xf numFmtId="0" fontId="7" fillId="2" borderId="6" xfId="0" applyFont="1" applyFill="1" applyBorder="1" applyAlignment="1">
      <alignment horizontal="center" textRotation="90" wrapText="1"/>
    </xf>
    <xf numFmtId="0" fontId="0" fillId="4" borderId="0" xfId="0" applyNumberFormat="1" applyFill="1"/>
    <xf numFmtId="0" fontId="0" fillId="4" borderId="0" xfId="0" applyNumberFormat="1" applyFill="1" applyAlignment="1">
      <alignment vertical="top"/>
    </xf>
    <xf numFmtId="0" fontId="2" fillId="4" borderId="0" xfId="0" applyNumberFormat="1" applyFont="1" applyFill="1"/>
    <xf numFmtId="0" fontId="0" fillId="4" borderId="0" xfId="0" applyNumberFormat="1" applyFill="1" applyAlignment="1">
      <alignment vertical="center"/>
    </xf>
    <xf numFmtId="0" fontId="0" fillId="4" borderId="0" xfId="0" applyNumberFormat="1" applyFont="1" applyFill="1" applyAlignment="1">
      <alignment vertical="center"/>
    </xf>
    <xf numFmtId="0" fontId="0" fillId="4" borderId="0" xfId="0" applyNumberFormat="1" applyFill="1" applyAlignment="1"/>
    <xf numFmtId="0" fontId="0" fillId="4" borderId="0" xfId="0" applyNumberFormat="1" applyFont="1" applyFill="1" applyAlignment="1"/>
    <xf numFmtId="0" fontId="0" fillId="4" borderId="0" xfId="0" applyNumberFormat="1" applyFont="1" applyFill="1"/>
    <xf numFmtId="0" fontId="2" fillId="4" borderId="0" xfId="0" applyNumberFormat="1" applyFont="1" applyFill="1" applyAlignment="1">
      <alignment vertical="center"/>
    </xf>
    <xf numFmtId="2" fontId="0" fillId="2" borderId="12" xfId="0" applyNumberFormat="1" applyFill="1" applyBorder="1" applyAlignment="1">
      <alignment horizontal="center" vertical="center"/>
    </xf>
    <xf numFmtId="0" fontId="70" fillId="2" borderId="0" xfId="0" applyFont="1" applyFill="1" applyBorder="1" applyAlignment="1">
      <alignment vertical="center"/>
    </xf>
    <xf numFmtId="0" fontId="70" fillId="2" borderId="0" xfId="0" applyFont="1" applyFill="1" applyBorder="1"/>
    <xf numFmtId="0" fontId="71" fillId="2" borderId="0" xfId="0" applyFont="1" applyFill="1" applyBorder="1" applyAlignment="1">
      <alignment vertical="center" textRotation="90"/>
    </xf>
    <xf numFmtId="0" fontId="72" fillId="2" borderId="0" xfId="0" applyFont="1" applyFill="1" applyBorder="1" applyAlignment="1">
      <alignment vertical="center" textRotation="90"/>
    </xf>
    <xf numFmtId="0" fontId="70" fillId="2" borderId="0" xfId="0" applyFont="1" applyFill="1" applyBorder="1" applyAlignment="1"/>
    <xf numFmtId="0" fontId="72" fillId="2" borderId="0" xfId="0" applyFont="1" applyFill="1" applyBorder="1" applyAlignment="1">
      <alignment textRotation="90"/>
    </xf>
    <xf numFmtId="0" fontId="73" fillId="2" borderId="0" xfId="0" applyFont="1" applyFill="1" applyBorder="1" applyAlignment="1">
      <alignment vertical="center"/>
    </xf>
    <xf numFmtId="0" fontId="70" fillId="2" borderId="46" xfId="0" applyFont="1" applyFill="1" applyBorder="1"/>
    <xf numFmtId="166" fontId="14" fillId="0" borderId="1" xfId="0" applyNumberFormat="1" applyFont="1" applyFill="1" applyBorder="1" applyAlignment="1">
      <alignment horizontal="center"/>
    </xf>
    <xf numFmtId="1" fontId="74" fillId="2" borderId="1" xfId="0" applyNumberFormat="1" applyFont="1" applyFill="1" applyBorder="1" applyAlignment="1">
      <alignment horizontal="center" wrapText="1"/>
    </xf>
    <xf numFmtId="1" fontId="75" fillId="2" borderId="1" xfId="0" applyNumberFormat="1" applyFont="1" applyFill="1" applyBorder="1" applyAlignment="1">
      <alignment horizontal="center" wrapText="1"/>
    </xf>
    <xf numFmtId="0" fontId="0" fillId="2" borderId="29" xfId="0" applyFill="1" applyBorder="1" applyAlignment="1">
      <alignment horizontal="left" vertical="top" wrapText="1"/>
    </xf>
    <xf numFmtId="1" fontId="46" fillId="3" borderId="13" xfId="0" applyNumberFormat="1" applyFont="1" applyFill="1" applyBorder="1" applyAlignment="1">
      <alignment horizontal="center" wrapText="1"/>
    </xf>
    <xf numFmtId="1" fontId="46" fillId="3" borderId="36" xfId="0" applyNumberFormat="1" applyFont="1" applyFill="1" applyBorder="1" applyAlignment="1">
      <alignment horizontal="center" wrapText="1"/>
    </xf>
    <xf numFmtId="1" fontId="46" fillId="3" borderId="15" xfId="0" applyNumberFormat="1" applyFont="1" applyFill="1" applyBorder="1" applyAlignment="1">
      <alignment horizontal="center" wrapText="1"/>
    </xf>
    <xf numFmtId="1" fontId="46" fillId="3" borderId="14" xfId="0" applyNumberFormat="1" applyFont="1" applyFill="1" applyBorder="1" applyAlignment="1">
      <alignment horizontal="center" wrapText="1"/>
    </xf>
    <xf numFmtId="0" fontId="34" fillId="3" borderId="5" xfId="0" applyFont="1" applyFill="1" applyBorder="1" applyAlignment="1" applyProtection="1">
      <alignment horizontal="center" textRotation="90" wrapText="1" shrinkToFit="1"/>
    </xf>
    <xf numFmtId="0" fontId="34" fillId="3" borderId="6" xfId="0" applyFont="1" applyFill="1" applyBorder="1" applyAlignment="1" applyProtection="1">
      <alignment horizontal="center" textRotation="90" wrapText="1" shrinkToFit="1"/>
    </xf>
    <xf numFmtId="0" fontId="34" fillId="3" borderId="7" xfId="0" applyFont="1" applyFill="1" applyBorder="1" applyAlignment="1" applyProtection="1">
      <alignment horizontal="center" textRotation="90" wrapText="1" shrinkToFit="1"/>
    </xf>
    <xf numFmtId="0" fontId="37" fillId="3" borderId="10" xfId="0" applyFont="1" applyFill="1" applyBorder="1" applyAlignment="1">
      <alignment horizontal="center" vertical="top"/>
    </xf>
    <xf numFmtId="0" fontId="37" fillId="3" borderId="12" xfId="0" applyFont="1" applyFill="1" applyBorder="1" applyAlignment="1">
      <alignment horizontal="center" vertical="top"/>
    </xf>
    <xf numFmtId="0" fontId="38" fillId="2" borderId="37" xfId="0" applyFont="1" applyFill="1" applyBorder="1"/>
    <xf numFmtId="0" fontId="38" fillId="2" borderId="44" xfId="0" applyFont="1" applyFill="1" applyBorder="1" applyAlignment="1">
      <alignment horizontal="center"/>
    </xf>
    <xf numFmtId="0" fontId="38" fillId="2" borderId="44" xfId="0" applyFont="1" applyFill="1" applyBorder="1" applyAlignment="1"/>
    <xf numFmtId="0" fontId="36" fillId="2" borderId="6" xfId="0" applyFont="1" applyFill="1" applyBorder="1" applyAlignment="1">
      <alignment horizontal="center" textRotation="90" wrapText="1"/>
    </xf>
    <xf numFmtId="0" fontId="31" fillId="2" borderId="41" xfId="0" applyFont="1" applyFill="1" applyBorder="1" applyAlignment="1">
      <alignment horizontal="center" textRotation="90" wrapText="1" shrinkToFit="1"/>
    </xf>
    <xf numFmtId="0" fontId="31" fillId="2" borderId="45" xfId="0" applyFont="1" applyFill="1" applyBorder="1" applyAlignment="1">
      <alignment horizontal="center" textRotation="90" wrapText="1" shrinkToFit="1"/>
    </xf>
    <xf numFmtId="164" fontId="32" fillId="2" borderId="1" xfId="0" applyNumberFormat="1" applyFont="1" applyFill="1" applyBorder="1" applyAlignment="1">
      <alignment horizontal="center" wrapText="1"/>
    </xf>
    <xf numFmtId="1" fontId="76" fillId="2" borderId="1" xfId="0" applyNumberFormat="1" applyFont="1" applyFill="1" applyBorder="1" applyAlignment="1">
      <alignment horizontal="center" wrapText="1"/>
    </xf>
    <xf numFmtId="1" fontId="37" fillId="3" borderId="9" xfId="0" applyNumberFormat="1" applyFont="1" applyFill="1" applyBorder="1" applyAlignment="1">
      <alignment horizontal="center"/>
    </xf>
    <xf numFmtId="1" fontId="77" fillId="2" borderId="1" xfId="0" applyNumberFormat="1" applyFont="1" applyFill="1" applyBorder="1" applyAlignment="1">
      <alignment horizontal="center" wrapText="1"/>
    </xf>
    <xf numFmtId="0" fontId="30" fillId="2" borderId="29" xfId="0" applyFont="1" applyFill="1" applyBorder="1"/>
    <xf numFmtId="164" fontId="32" fillId="2" borderId="0" xfId="0" applyNumberFormat="1" applyFont="1" applyFill="1" applyBorder="1" applyAlignment="1">
      <alignment horizontal="center" wrapText="1"/>
    </xf>
    <xf numFmtId="1" fontId="37" fillId="2" borderId="30" xfId="0" applyNumberFormat="1" applyFont="1" applyFill="1" applyBorder="1" applyAlignment="1">
      <alignment horizontal="center"/>
    </xf>
    <xf numFmtId="0" fontId="38" fillId="2" borderId="29" xfId="0" applyFont="1" applyFill="1" applyBorder="1"/>
    <xf numFmtId="2" fontId="37" fillId="2" borderId="30" xfId="0" applyNumberFormat="1" applyFont="1" applyFill="1" applyBorder="1" applyAlignment="1">
      <alignment horizontal="center"/>
    </xf>
    <xf numFmtId="0" fontId="30" fillId="2" borderId="8" xfId="0" applyFont="1" applyFill="1" applyBorder="1"/>
    <xf numFmtId="0" fontId="30" fillId="2" borderId="2" xfId="0" applyFont="1" applyFill="1" applyBorder="1" applyAlignment="1">
      <alignment vertical="center" wrapText="1"/>
    </xf>
    <xf numFmtId="0" fontId="30" fillId="2" borderId="29" xfId="0" applyFont="1" applyFill="1" applyBorder="1" applyAlignment="1">
      <alignment horizontal="left" vertical="top" wrapText="1"/>
    </xf>
    <xf numFmtId="0" fontId="37" fillId="3" borderId="8" xfId="0" applyFont="1" applyFill="1" applyBorder="1"/>
    <xf numFmtId="0" fontId="37" fillId="3" borderId="1" xfId="0" applyFont="1" applyFill="1" applyBorder="1" applyAlignment="1">
      <alignment horizontal="left" vertical="center" wrapText="1"/>
    </xf>
    <xf numFmtId="0" fontId="37" fillId="2" borderId="30" xfId="0" applyFont="1" applyFill="1" applyBorder="1" applyAlignment="1">
      <alignment horizontal="center"/>
    </xf>
    <xf numFmtId="0" fontId="31" fillId="2" borderId="30" xfId="0" applyFont="1" applyFill="1" applyBorder="1" applyAlignment="1">
      <alignment horizontal="center"/>
    </xf>
    <xf numFmtId="0" fontId="31" fillId="2" borderId="29" xfId="0" applyFont="1" applyFill="1" applyBorder="1" applyAlignment="1">
      <alignment vertical="center"/>
    </xf>
    <xf numFmtId="0" fontId="31" fillId="2" borderId="0" xfId="0" applyFont="1" applyFill="1" applyBorder="1" applyAlignment="1">
      <alignment vertical="center"/>
    </xf>
    <xf numFmtId="0" fontId="38" fillId="2" borderId="0" xfId="0" applyFont="1" applyFill="1" applyBorder="1" applyAlignment="1">
      <alignment vertical="center"/>
    </xf>
    <xf numFmtId="0" fontId="30" fillId="2" borderId="8" xfId="0" applyFont="1" applyFill="1" applyBorder="1" applyAlignment="1">
      <alignment vertical="center"/>
    </xf>
    <xf numFmtId="0" fontId="30" fillId="2" borderId="1" xfId="0" applyFont="1" applyFill="1" applyBorder="1" applyAlignment="1">
      <alignment horizontal="center" vertical="center"/>
    </xf>
    <xf numFmtId="0" fontId="30" fillId="2" borderId="0" xfId="0" applyFont="1" applyFill="1" applyBorder="1" applyAlignment="1">
      <alignment vertical="center" wrapText="1"/>
    </xf>
    <xf numFmtId="0" fontId="32" fillId="2" borderId="0" xfId="0" applyFont="1" applyFill="1" applyBorder="1" applyAlignment="1">
      <alignment horizontal="center" vertical="center" wrapText="1"/>
    </xf>
    <xf numFmtId="2" fontId="30" fillId="2" borderId="1" xfId="0" applyNumberFormat="1" applyFont="1" applyFill="1" applyBorder="1" applyAlignment="1">
      <alignment horizontal="center" vertical="center"/>
    </xf>
    <xf numFmtId="2" fontId="30" fillId="2" borderId="9" xfId="0" applyNumberFormat="1" applyFont="1" applyFill="1" applyBorder="1" applyAlignment="1">
      <alignment horizontal="center" vertical="center"/>
    </xf>
    <xf numFmtId="0" fontId="30" fillId="2" borderId="30" xfId="0" applyFont="1" applyFill="1" applyBorder="1" applyAlignment="1">
      <alignment vertical="center"/>
    </xf>
    <xf numFmtId="0" fontId="30" fillId="2" borderId="62" xfId="0" applyFont="1" applyFill="1" applyBorder="1" applyAlignment="1">
      <alignment vertical="center"/>
    </xf>
    <xf numFmtId="0" fontId="30" fillId="2" borderId="33" xfId="0" applyFont="1" applyFill="1" applyBorder="1" applyAlignment="1">
      <alignment horizontal="center" vertical="center"/>
    </xf>
    <xf numFmtId="1" fontId="30" fillId="2" borderId="33" xfId="0" applyNumberFormat="1" applyFont="1" applyFill="1" applyBorder="1" applyAlignment="1">
      <alignment horizontal="center" vertical="center"/>
    </xf>
    <xf numFmtId="1" fontId="30" fillId="2" borderId="61" xfId="0" applyNumberFormat="1" applyFont="1" applyFill="1" applyBorder="1" applyAlignment="1">
      <alignment horizontal="center" vertical="center"/>
    </xf>
    <xf numFmtId="2" fontId="30" fillId="2" borderId="33" xfId="0" applyNumberFormat="1" applyFont="1" applyFill="1" applyBorder="1" applyAlignment="1">
      <alignment horizontal="center" vertical="center"/>
    </xf>
    <xf numFmtId="2" fontId="30" fillId="2" borderId="61" xfId="0" applyNumberFormat="1" applyFont="1" applyFill="1" applyBorder="1" applyAlignment="1">
      <alignment horizontal="center" vertical="center"/>
    </xf>
    <xf numFmtId="0" fontId="30" fillId="2" borderId="10" xfId="0" applyFont="1" applyFill="1" applyBorder="1" applyAlignment="1">
      <alignment vertical="center"/>
    </xf>
    <xf numFmtId="0" fontId="30" fillId="2" borderId="11" xfId="0" applyFont="1" applyFill="1" applyBorder="1" applyAlignment="1">
      <alignment horizontal="center" vertical="center"/>
    </xf>
    <xf numFmtId="0" fontId="30" fillId="2" borderId="46" xfId="0" applyFont="1" applyFill="1" applyBorder="1" applyAlignment="1">
      <alignment vertical="center" wrapText="1"/>
    </xf>
    <xf numFmtId="0" fontId="32" fillId="2" borderId="46" xfId="0" applyFont="1" applyFill="1" applyBorder="1" applyAlignment="1">
      <alignment horizontal="center" vertical="center" wrapText="1"/>
    </xf>
    <xf numFmtId="164" fontId="30" fillId="2" borderId="11"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0" fontId="30" fillId="2" borderId="5" xfId="0" applyFont="1" applyFill="1" applyBorder="1" applyAlignment="1">
      <alignment vertical="center"/>
    </xf>
    <xf numFmtId="0" fontId="30" fillId="2" borderId="6" xfId="0" applyFont="1" applyFill="1" applyBorder="1" applyAlignment="1">
      <alignment horizontal="center" vertical="center"/>
    </xf>
    <xf numFmtId="0" fontId="30" fillId="2" borderId="6" xfId="0" applyFont="1" applyFill="1" applyBorder="1" applyAlignment="1">
      <alignment vertical="center" wrapText="1"/>
    </xf>
    <xf numFmtId="0" fontId="32" fillId="2" borderId="44" xfId="0" applyFont="1" applyFill="1" applyBorder="1" applyAlignment="1">
      <alignment horizontal="center" vertical="center" wrapText="1"/>
    </xf>
    <xf numFmtId="0" fontId="37" fillId="3" borderId="6" xfId="0" applyFont="1" applyFill="1" applyBorder="1" applyAlignment="1">
      <alignment horizontal="center" vertical="center"/>
    </xf>
    <xf numFmtId="0" fontId="37" fillId="3" borderId="28" xfId="0" applyFont="1" applyFill="1" applyBorder="1" applyAlignment="1">
      <alignment horizontal="center" vertical="center"/>
    </xf>
    <xf numFmtId="0" fontId="37" fillId="3" borderId="7" xfId="0" applyFont="1" applyFill="1" applyBorder="1" applyAlignment="1">
      <alignment horizontal="center" vertical="center"/>
    </xf>
    <xf numFmtId="0" fontId="39" fillId="2" borderId="0" xfId="0" applyFont="1" applyFill="1" applyBorder="1" applyAlignment="1">
      <alignment vertical="center" textRotation="90"/>
    </xf>
    <xf numFmtId="0" fontId="37" fillId="3" borderId="1" xfId="0" applyFont="1" applyFill="1" applyBorder="1" applyAlignment="1">
      <alignment horizontal="center" vertical="center"/>
    </xf>
    <xf numFmtId="0" fontId="37" fillId="3" borderId="3" xfId="0" applyFont="1" applyFill="1" applyBorder="1" applyAlignment="1">
      <alignment horizontal="center" vertical="center"/>
    </xf>
    <xf numFmtId="0" fontId="37" fillId="3" borderId="9" xfId="0" applyFont="1" applyFill="1" applyBorder="1" applyAlignment="1">
      <alignment horizontal="center" vertical="center"/>
    </xf>
    <xf numFmtId="0" fontId="78" fillId="2" borderId="0" xfId="0" applyFont="1" applyFill="1" applyBorder="1" applyAlignment="1">
      <alignment vertical="center" textRotation="90"/>
    </xf>
    <xf numFmtId="0" fontId="30" fillId="2" borderId="29" xfId="0" applyFont="1" applyFill="1" applyBorder="1" applyAlignment="1">
      <alignment vertical="center"/>
    </xf>
    <xf numFmtId="0" fontId="30" fillId="2" borderId="0" xfId="0" applyFont="1" applyFill="1" applyBorder="1" applyAlignment="1">
      <alignment horizontal="center" vertical="center"/>
    </xf>
    <xf numFmtId="0" fontId="30" fillId="2" borderId="30" xfId="0" applyFont="1" applyFill="1" applyBorder="1" applyAlignment="1">
      <alignment vertical="center" wrapText="1"/>
    </xf>
    <xf numFmtId="0" fontId="38" fillId="2" borderId="29" xfId="0" applyFont="1" applyFill="1" applyBorder="1" applyAlignment="1">
      <alignment vertical="center"/>
    </xf>
    <xf numFmtId="0" fontId="30" fillId="2" borderId="30" xfId="0" applyFont="1" applyFill="1" applyBorder="1" applyAlignment="1">
      <alignment horizontal="center" vertical="center"/>
    </xf>
    <xf numFmtId="0" fontId="30" fillId="2" borderId="0" xfId="0" applyFont="1" applyFill="1" applyBorder="1" applyAlignment="1">
      <alignment vertical="center"/>
    </xf>
    <xf numFmtId="1" fontId="30" fillId="2" borderId="1" xfId="0" applyNumberFormat="1" applyFont="1" applyFill="1" applyBorder="1" applyAlignment="1">
      <alignment horizontal="center" vertical="center"/>
    </xf>
    <xf numFmtId="1" fontId="30" fillId="2" borderId="9" xfId="0" applyNumberFormat="1" applyFont="1" applyFill="1" applyBorder="1" applyAlignment="1">
      <alignment horizontal="center" vertical="center"/>
    </xf>
    <xf numFmtId="0" fontId="30" fillId="2" borderId="46" xfId="0" applyFont="1" applyFill="1" applyBorder="1" applyAlignment="1">
      <alignment vertical="center"/>
    </xf>
    <xf numFmtId="1" fontId="30" fillId="2" borderId="11" xfId="0" applyNumberFormat="1" applyFont="1" applyFill="1" applyBorder="1" applyAlignment="1">
      <alignment horizontal="center" vertical="center"/>
    </xf>
    <xf numFmtId="1" fontId="30" fillId="2" borderId="12" xfId="0" applyNumberFormat="1" applyFont="1" applyFill="1" applyBorder="1" applyAlignment="1">
      <alignment horizontal="center" vertical="center"/>
    </xf>
    <xf numFmtId="0" fontId="32" fillId="2" borderId="0" xfId="0" applyFont="1" applyFill="1" applyBorder="1" applyAlignment="1">
      <alignment horizontal="right"/>
    </xf>
    <xf numFmtId="0" fontId="32" fillId="2" borderId="44" xfId="0" applyFont="1" applyFill="1" applyBorder="1" applyAlignment="1">
      <alignment horizontal="left" vertical="center"/>
    </xf>
    <xf numFmtId="0" fontId="32" fillId="2" borderId="0" xfId="0" applyFont="1" applyFill="1" applyBorder="1" applyAlignment="1">
      <alignment horizontal="left" vertical="center"/>
    </xf>
    <xf numFmtId="0" fontId="79" fillId="2" borderId="0" xfId="0" applyFont="1" applyFill="1" applyBorder="1" applyAlignment="1">
      <alignment horizontal="right" vertical="center"/>
    </xf>
    <xf numFmtId="0" fontId="79" fillId="2" borderId="0" xfId="0" applyFont="1" applyFill="1" applyBorder="1" applyAlignment="1">
      <alignment horizontal="center" vertical="center"/>
    </xf>
    <xf numFmtId="0" fontId="79" fillId="2" borderId="30" xfId="0" applyFont="1" applyFill="1" applyBorder="1" applyAlignment="1">
      <alignment horizontal="center" vertical="center"/>
    </xf>
    <xf numFmtId="2" fontId="30" fillId="2" borderId="11" xfId="0" applyNumberFormat="1" applyFont="1" applyFill="1" applyBorder="1" applyAlignment="1">
      <alignment horizontal="center" vertical="center"/>
    </xf>
    <xf numFmtId="2" fontId="30" fillId="2" borderId="12" xfId="0" applyNumberFormat="1" applyFont="1" applyFill="1" applyBorder="1" applyAlignment="1">
      <alignment horizontal="center" vertical="center"/>
    </xf>
    <xf numFmtId="0" fontId="31" fillId="2" borderId="29" xfId="0" applyFont="1" applyFill="1" applyBorder="1" applyAlignment="1"/>
    <xf numFmtId="0" fontId="31" fillId="2" borderId="0" xfId="0" applyFont="1" applyFill="1" applyBorder="1" applyAlignment="1"/>
    <xf numFmtId="0" fontId="30" fillId="2" borderId="5" xfId="0" applyFont="1" applyFill="1" applyBorder="1" applyAlignment="1"/>
    <xf numFmtId="0" fontId="30" fillId="2" borderId="6" xfId="0" applyFont="1" applyFill="1" applyBorder="1" applyAlignment="1">
      <alignment horizontal="center"/>
    </xf>
    <xf numFmtId="0" fontId="30" fillId="2" borderId="6" xfId="0" applyFont="1" applyFill="1" applyBorder="1" applyAlignment="1">
      <alignment wrapText="1"/>
    </xf>
    <xf numFmtId="0" fontId="36" fillId="2" borderId="44" xfId="0" applyFont="1" applyFill="1" applyBorder="1" applyAlignment="1">
      <alignment horizontal="right"/>
    </xf>
    <xf numFmtId="0" fontId="37" fillId="3" borderId="6" xfId="0" applyFont="1" applyFill="1" applyBorder="1" applyAlignment="1">
      <alignment horizontal="center"/>
    </xf>
    <xf numFmtId="0" fontId="37" fillId="3" borderId="7" xfId="0" applyFont="1" applyFill="1" applyBorder="1" applyAlignment="1">
      <alignment horizontal="center"/>
    </xf>
    <xf numFmtId="0" fontId="30" fillId="2" borderId="30" xfId="0" applyFont="1" applyFill="1" applyBorder="1" applyAlignment="1"/>
    <xf numFmtId="0" fontId="38" fillId="2" borderId="0" xfId="0" applyFont="1" applyFill="1" applyBorder="1" applyAlignment="1"/>
    <xf numFmtId="0" fontId="30" fillId="2" borderId="8" xfId="0" applyFont="1" applyFill="1" applyBorder="1" applyAlignment="1"/>
    <xf numFmtId="0" fontId="37" fillId="3" borderId="4" xfId="0" applyFont="1" applyFill="1" applyBorder="1" applyAlignment="1">
      <alignment horizontal="center"/>
    </xf>
    <xf numFmtId="0" fontId="37" fillId="3" borderId="49" xfId="0" applyFont="1" applyFill="1" applyBorder="1" applyAlignment="1">
      <alignment horizontal="center"/>
    </xf>
    <xf numFmtId="0" fontId="37" fillId="3" borderId="9" xfId="0" applyFont="1" applyFill="1" applyBorder="1" applyAlignment="1">
      <alignment horizontal="center"/>
    </xf>
    <xf numFmtId="0" fontId="78" fillId="2" borderId="0" xfId="0" applyFont="1" applyFill="1" applyBorder="1" applyAlignment="1">
      <alignment textRotation="90"/>
    </xf>
    <xf numFmtId="0" fontId="30" fillId="2" borderId="29" xfId="0" applyFont="1" applyFill="1" applyBorder="1" applyAlignment="1"/>
    <xf numFmtId="0" fontId="30" fillId="2" borderId="30" xfId="0" applyFont="1" applyFill="1" applyBorder="1" applyAlignment="1">
      <alignment wrapText="1"/>
    </xf>
    <xf numFmtId="0" fontId="38" fillId="2" borderId="29" xfId="0" applyFont="1" applyFill="1" applyBorder="1" applyAlignment="1"/>
    <xf numFmtId="0" fontId="30" fillId="2" borderId="30" xfId="0" applyFont="1" applyFill="1" applyBorder="1" applyAlignment="1">
      <alignment horizontal="center"/>
    </xf>
    <xf numFmtId="0" fontId="30" fillId="2" borderId="10" xfId="0" applyFont="1" applyFill="1" applyBorder="1" applyAlignment="1"/>
    <xf numFmtId="0" fontId="30" fillId="2" borderId="11" xfId="0" applyFont="1" applyFill="1" applyBorder="1" applyAlignment="1">
      <alignment horizontal="center"/>
    </xf>
    <xf numFmtId="0" fontId="30" fillId="2" borderId="11" xfId="0" applyFont="1" applyFill="1" applyBorder="1" applyAlignment="1">
      <alignment horizontal="left"/>
    </xf>
    <xf numFmtId="164" fontId="30" fillId="2" borderId="11" xfId="0" applyNumberFormat="1" applyFont="1" applyFill="1" applyBorder="1" applyAlignment="1">
      <alignment horizontal="center"/>
    </xf>
    <xf numFmtId="164" fontId="30" fillId="2" borderId="12" xfId="0" applyNumberFormat="1" applyFont="1" applyFill="1" applyBorder="1" applyAlignment="1">
      <alignment horizontal="center"/>
    </xf>
    <xf numFmtId="0" fontId="30" fillId="2" borderId="6" xfId="0" applyFont="1" applyFill="1" applyBorder="1" applyAlignment="1">
      <alignment horizontal="left" vertical="center" wrapText="1"/>
    </xf>
    <xf numFmtId="0" fontId="30" fillId="2" borderId="1" xfId="0" applyFont="1" applyFill="1" applyBorder="1" applyAlignment="1">
      <alignment horizontal="left" vertical="center" wrapText="1"/>
    </xf>
    <xf numFmtId="0" fontId="30" fillId="2" borderId="11" xfId="0" applyFont="1" applyFill="1" applyBorder="1" applyAlignment="1">
      <alignment horizontal="left" vertical="center" wrapText="1"/>
    </xf>
    <xf numFmtId="0" fontId="37" fillId="3" borderId="11" xfId="0" applyFont="1" applyFill="1" applyBorder="1" applyAlignment="1">
      <alignment horizontal="center" vertical="center"/>
    </xf>
    <xf numFmtId="0" fontId="37" fillId="3" borderId="12" xfId="0" applyFont="1" applyFill="1" applyBorder="1" applyAlignment="1">
      <alignment horizontal="center" vertical="center"/>
    </xf>
    <xf numFmtId="164" fontId="30" fillId="2" borderId="6" xfId="0" applyNumberFormat="1" applyFont="1" applyFill="1" applyBorder="1" applyAlignment="1">
      <alignment horizontal="center" vertical="center"/>
    </xf>
    <xf numFmtId="164" fontId="30" fillId="2" borderId="7" xfId="0" applyNumberFormat="1" applyFont="1" applyFill="1" applyBorder="1" applyAlignment="1">
      <alignment horizontal="center" vertical="center"/>
    </xf>
    <xf numFmtId="164" fontId="30" fillId="2" borderId="1" xfId="0" applyNumberFormat="1" applyFont="1" applyFill="1" applyBorder="1" applyAlignment="1">
      <alignment horizontal="center" vertical="center"/>
    </xf>
    <xf numFmtId="164" fontId="30" fillId="2" borderId="9" xfId="0" applyNumberFormat="1" applyFont="1" applyFill="1" applyBorder="1" applyAlignment="1">
      <alignment horizontal="center" vertical="center"/>
    </xf>
    <xf numFmtId="0" fontId="40" fillId="2" borderId="0" xfId="0" applyFont="1" applyFill="1" applyBorder="1" applyAlignment="1">
      <alignment vertical="center"/>
    </xf>
    <xf numFmtId="0" fontId="31" fillId="2" borderId="44" xfId="0" applyFont="1" applyFill="1" applyBorder="1" applyAlignment="1">
      <alignment vertical="center" wrapText="1"/>
    </xf>
    <xf numFmtId="0" fontId="36" fillId="2" borderId="44" xfId="0" applyFont="1" applyFill="1" applyBorder="1" applyAlignment="1">
      <alignment horizontal="center" vertical="center" wrapText="1"/>
    </xf>
    <xf numFmtId="0" fontId="30" fillId="2" borderId="7" xfId="0" applyFont="1" applyFill="1" applyBorder="1" applyAlignment="1">
      <alignment horizontal="center" vertical="center"/>
    </xf>
    <xf numFmtId="0" fontId="31" fillId="2" borderId="30" xfId="0" applyFont="1" applyFill="1" applyBorder="1" applyAlignment="1">
      <alignment vertical="center"/>
    </xf>
    <xf numFmtId="0" fontId="30" fillId="2" borderId="12" xfId="0" applyFont="1" applyFill="1" applyBorder="1" applyAlignment="1">
      <alignment horizontal="center" vertical="center"/>
    </xf>
    <xf numFmtId="0" fontId="30" fillId="0" borderId="60" xfId="0" applyFont="1" applyBorder="1" applyAlignment="1"/>
    <xf numFmtId="0" fontId="30" fillId="0" borderId="0" xfId="0" applyFont="1" applyAlignment="1"/>
    <xf numFmtId="1" fontId="37" fillId="2" borderId="1" xfId="0" applyNumberFormat="1" applyFont="1" applyFill="1" applyBorder="1" applyAlignment="1">
      <alignment horizontal="center" wrapText="1"/>
    </xf>
    <xf numFmtId="164" fontId="37" fillId="2" borderId="1" xfId="0" applyNumberFormat="1" applyFont="1" applyFill="1" applyBorder="1" applyAlignment="1">
      <alignment horizontal="center" wrapText="1"/>
    </xf>
    <xf numFmtId="0" fontId="3" fillId="2" borderId="0" xfId="0" applyFont="1" applyFill="1" applyBorder="1" applyAlignment="1">
      <alignment horizontal="left"/>
    </xf>
    <xf numFmtId="0" fontId="43" fillId="4" borderId="0" xfId="1" applyFill="1"/>
    <xf numFmtId="0" fontId="2" fillId="4" borderId="50" xfId="0" applyFont="1" applyFill="1" applyBorder="1" applyAlignment="1">
      <alignment horizontal="center"/>
    </xf>
    <xf numFmtId="0" fontId="2" fillId="4" borderId="18" xfId="0" applyFont="1" applyFill="1" applyBorder="1" applyAlignment="1">
      <alignment horizontal="center"/>
    </xf>
    <xf numFmtId="0" fontId="2" fillId="4" borderId="26" xfId="0" applyFont="1" applyFill="1" applyBorder="1" applyAlignment="1">
      <alignment horizontal="center"/>
    </xf>
    <xf numFmtId="0" fontId="0" fillId="4" borderId="48" xfId="0" applyFill="1" applyBorder="1" applyAlignment="1">
      <alignment horizontal="center"/>
    </xf>
    <xf numFmtId="0" fontId="0" fillId="4" borderId="49" xfId="0" applyFill="1" applyBorder="1" applyAlignment="1">
      <alignment horizontal="center"/>
    </xf>
    <xf numFmtId="164" fontId="0" fillId="4" borderId="51" xfId="0" applyNumberFormat="1" applyFill="1" applyBorder="1" applyAlignment="1">
      <alignment horizontal="center"/>
    </xf>
    <xf numFmtId="1" fontId="1" fillId="4" borderId="49" xfId="0" applyNumberFormat="1" applyFont="1" applyFill="1" applyBorder="1" applyAlignment="1">
      <alignment horizontal="center"/>
    </xf>
    <xf numFmtId="164" fontId="11" fillId="4" borderId="48" xfId="0" applyNumberFormat="1" applyFont="1" applyFill="1" applyBorder="1" applyAlignment="1">
      <alignment horizontal="center"/>
    </xf>
    <xf numFmtId="164" fontId="0" fillId="4" borderId="49" xfId="0" applyNumberFormat="1"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164" fontId="0" fillId="4" borderId="3" xfId="0" applyNumberFormat="1" applyFill="1" applyBorder="1" applyAlignment="1">
      <alignment horizontal="center"/>
    </xf>
    <xf numFmtId="1" fontId="1" fillId="4" borderId="9" xfId="0" applyNumberFormat="1" applyFont="1" applyFill="1" applyBorder="1" applyAlignment="1">
      <alignment horizontal="center"/>
    </xf>
    <xf numFmtId="164" fontId="11" fillId="4" borderId="8" xfId="0" applyNumberFormat="1" applyFont="1" applyFill="1" applyBorder="1" applyAlignment="1">
      <alignment horizontal="center"/>
    </xf>
    <xf numFmtId="164" fontId="0" fillId="4" borderId="9" xfId="0" applyNumberFormat="1" applyFill="1" applyBorder="1" applyAlignment="1">
      <alignment horizontal="center"/>
    </xf>
    <xf numFmtId="0" fontId="0" fillId="4" borderId="10" xfId="0" applyFill="1" applyBorder="1" applyAlignment="1">
      <alignment horizontal="center"/>
    </xf>
    <xf numFmtId="0" fontId="0" fillId="4" borderId="12" xfId="0" applyFill="1" applyBorder="1" applyAlignment="1">
      <alignment horizontal="center"/>
    </xf>
    <xf numFmtId="164" fontId="0" fillId="4" borderId="27" xfId="0" applyNumberFormat="1" applyFill="1" applyBorder="1" applyAlignment="1">
      <alignment horizontal="center"/>
    </xf>
    <xf numFmtId="1" fontId="1" fillId="4" borderId="12" xfId="0" applyNumberFormat="1" applyFont="1" applyFill="1" applyBorder="1" applyAlignment="1">
      <alignment horizontal="center"/>
    </xf>
    <xf numFmtId="164" fontId="11" fillId="4" borderId="10" xfId="0" applyNumberFormat="1" applyFont="1" applyFill="1" applyBorder="1" applyAlignment="1">
      <alignment horizontal="center"/>
    </xf>
    <xf numFmtId="164" fontId="0" fillId="4" borderId="12" xfId="0" applyNumberFormat="1" applyFill="1" applyBorder="1" applyAlignment="1">
      <alignment horizontal="center"/>
    </xf>
    <xf numFmtId="0" fontId="2" fillId="4" borderId="0" xfId="0" applyFont="1" applyFill="1" applyBorder="1" applyAlignment="1">
      <alignment horizontal="center"/>
    </xf>
    <xf numFmtId="164" fontId="0" fillId="4" borderId="0" xfId="0" applyNumberFormat="1" applyFill="1" applyBorder="1" applyAlignment="1">
      <alignment horizontal="center"/>
    </xf>
    <xf numFmtId="0" fontId="0" fillId="3" borderId="1" xfId="0" applyFill="1" applyBorder="1" applyAlignment="1">
      <alignment horizontal="center" vertical="center"/>
    </xf>
    <xf numFmtId="0" fontId="2" fillId="4" borderId="1" xfId="0" applyFont="1" applyFill="1" applyBorder="1" applyAlignment="1">
      <alignment vertical="center"/>
    </xf>
    <xf numFmtId="0" fontId="0" fillId="4" borderId="1" xfId="0" applyFill="1" applyBorder="1" applyAlignment="1">
      <alignment vertical="center"/>
    </xf>
    <xf numFmtId="0" fontId="16" fillId="2" borderId="45" xfId="0" applyFont="1" applyFill="1" applyBorder="1" applyAlignment="1">
      <alignment horizontal="center" wrapText="1"/>
    </xf>
    <xf numFmtId="0" fontId="18" fillId="2" borderId="30" xfId="0" applyFont="1" applyFill="1" applyBorder="1" applyAlignment="1">
      <alignment horizontal="center" wrapText="1"/>
    </xf>
    <xf numFmtId="0" fontId="46" fillId="2" borderId="59" xfId="0" applyFont="1" applyFill="1" applyBorder="1" applyAlignment="1">
      <alignment horizontal="center" wrapText="1"/>
    </xf>
    <xf numFmtId="0" fontId="46" fillId="2" borderId="58" xfId="0" applyFont="1" applyFill="1" applyBorder="1" applyAlignment="1">
      <alignment horizontal="center" wrapText="1"/>
    </xf>
    <xf numFmtId="0" fontId="46" fillId="3" borderId="57" xfId="0" applyFont="1" applyFill="1" applyBorder="1" applyAlignment="1">
      <alignment horizontal="center" wrapText="1"/>
    </xf>
    <xf numFmtId="0" fontId="46" fillId="3" borderId="30" xfId="0" applyFont="1" applyFill="1" applyBorder="1" applyAlignment="1">
      <alignment horizontal="center" wrapText="1"/>
    </xf>
    <xf numFmtId="0" fontId="46" fillId="3" borderId="59" xfId="0" applyFont="1" applyFill="1" applyBorder="1" applyAlignment="1">
      <alignment horizontal="center" wrapText="1"/>
    </xf>
    <xf numFmtId="0" fontId="46" fillId="3" borderId="58" xfId="0" applyFont="1" applyFill="1" applyBorder="1" applyAlignment="1">
      <alignment horizontal="center" wrapText="1"/>
    </xf>
    <xf numFmtId="1" fontId="18" fillId="2" borderId="28" xfId="0" applyNumberFormat="1" applyFont="1" applyFill="1" applyBorder="1" applyAlignment="1">
      <alignment horizontal="center" wrapText="1"/>
    </xf>
    <xf numFmtId="165" fontId="18" fillId="2" borderId="9" xfId="0" applyNumberFormat="1" applyFont="1" applyFill="1" applyBorder="1" applyAlignment="1">
      <alignment horizontal="center" wrapText="1"/>
    </xf>
    <xf numFmtId="165" fontId="18" fillId="2" borderId="12" xfId="0" applyNumberFormat="1" applyFont="1" applyFill="1" applyBorder="1" applyAlignment="1">
      <alignment horizontal="center" wrapText="1"/>
    </xf>
    <xf numFmtId="0" fontId="15" fillId="2" borderId="19" xfId="0" applyFont="1" applyFill="1" applyBorder="1" applyAlignment="1">
      <alignment horizontal="center" wrapText="1"/>
    </xf>
    <xf numFmtId="0" fontId="15" fillId="2" borderId="20" xfId="0" applyFont="1" applyFill="1" applyBorder="1" applyAlignment="1">
      <alignment horizontal="center" wrapText="1"/>
    </xf>
    <xf numFmtId="0" fontId="15" fillId="2" borderId="21" xfId="0" applyFont="1" applyFill="1" applyBorder="1" applyAlignment="1">
      <alignment horizontal="center" wrapText="1"/>
    </xf>
    <xf numFmtId="0" fontId="14" fillId="2" borderId="31" xfId="0" applyFont="1" applyFill="1" applyBorder="1" applyAlignment="1">
      <alignment horizontal="left" vertical="top" wrapText="1"/>
    </xf>
    <xf numFmtId="0" fontId="14" fillId="2" borderId="36" xfId="0" applyFont="1" applyFill="1" applyBorder="1" applyAlignment="1">
      <alignment horizontal="left" vertical="top" wrapText="1"/>
    </xf>
    <xf numFmtId="0" fontId="14" fillId="2" borderId="38" xfId="0" applyFont="1" applyFill="1" applyBorder="1" applyAlignment="1">
      <alignment horizontal="left" vertical="top" wrapText="1"/>
    </xf>
    <xf numFmtId="0" fontId="18" fillId="2" borderId="31" xfId="0" applyFont="1" applyFill="1" applyBorder="1" applyAlignment="1">
      <alignment horizontal="center" vertical="top" wrapText="1"/>
    </xf>
    <xf numFmtId="0" fontId="18" fillId="2" borderId="36" xfId="0" applyFont="1" applyFill="1" applyBorder="1" applyAlignment="1">
      <alignment horizontal="center" vertical="top" wrapText="1"/>
    </xf>
    <xf numFmtId="0" fontId="18" fillId="2" borderId="38" xfId="0" applyFont="1" applyFill="1" applyBorder="1" applyAlignment="1">
      <alignment horizontal="center" vertical="top" wrapText="1"/>
    </xf>
    <xf numFmtId="0" fontId="18" fillId="2" borderId="16" xfId="0" applyFont="1" applyFill="1" applyBorder="1" applyAlignment="1">
      <alignment horizontal="center" vertical="top" wrapText="1"/>
    </xf>
    <xf numFmtId="0" fontId="14" fillId="2" borderId="32" xfId="0" applyFont="1" applyFill="1" applyBorder="1" applyAlignment="1">
      <alignment horizontal="left" vertical="top"/>
    </xf>
    <xf numFmtId="0" fontId="14" fillId="2" borderId="29" xfId="0" applyFont="1" applyFill="1" applyBorder="1" applyAlignment="1">
      <alignment horizontal="left" vertical="top"/>
    </xf>
    <xf numFmtId="0" fontId="14" fillId="2" borderId="22" xfId="0" applyFont="1" applyFill="1" applyBorder="1" applyAlignment="1">
      <alignment horizontal="left" vertical="top"/>
    </xf>
    <xf numFmtId="0" fontId="45" fillId="2" borderId="19" xfId="0" applyFont="1" applyFill="1" applyBorder="1" applyAlignment="1">
      <alignment horizontal="center" wrapText="1"/>
    </xf>
    <xf numFmtId="0" fontId="45" fillId="2" borderId="20" xfId="0" applyFont="1" applyFill="1" applyBorder="1" applyAlignment="1">
      <alignment horizontal="center" wrapText="1"/>
    </xf>
    <xf numFmtId="0" fontId="45" fillId="2" borderId="21" xfId="0" applyFont="1" applyFill="1" applyBorder="1" applyAlignment="1">
      <alignment horizontal="center" wrapText="1"/>
    </xf>
    <xf numFmtId="0" fontId="46" fillId="2" borderId="31" xfId="0" applyFont="1" applyFill="1" applyBorder="1" applyAlignment="1">
      <alignment horizontal="center" vertical="top" wrapText="1"/>
    </xf>
    <xf numFmtId="0" fontId="46" fillId="2" borderId="36" xfId="0" applyFont="1" applyFill="1" applyBorder="1" applyAlignment="1">
      <alignment horizontal="center" vertical="top" wrapText="1"/>
    </xf>
    <xf numFmtId="0" fontId="46" fillId="2" borderId="38" xfId="0" applyFont="1" applyFill="1" applyBorder="1" applyAlignment="1">
      <alignment horizontal="center" vertical="top" wrapText="1"/>
    </xf>
    <xf numFmtId="0" fontId="46" fillId="2" borderId="16" xfId="0" applyFont="1" applyFill="1" applyBorder="1" applyAlignment="1">
      <alignment horizontal="center" vertical="top" wrapText="1"/>
    </xf>
    <xf numFmtId="0" fontId="0" fillId="2" borderId="33" xfId="0" applyFont="1" applyFill="1" applyBorder="1" applyAlignment="1">
      <alignment horizontal="center" vertical="center"/>
    </xf>
    <xf numFmtId="0" fontId="0" fillId="2" borderId="64" xfId="0" applyFont="1" applyFill="1" applyBorder="1" applyAlignment="1">
      <alignment horizontal="center" vertical="center"/>
    </xf>
    <xf numFmtId="0" fontId="0" fillId="2" borderId="62" xfId="0" applyFill="1" applyBorder="1" applyAlignment="1">
      <alignment horizontal="left" vertical="center"/>
    </xf>
    <xf numFmtId="0" fontId="0" fillId="2" borderId="48" xfId="0" applyFill="1" applyBorder="1" applyAlignment="1">
      <alignment horizontal="left" vertical="center"/>
    </xf>
    <xf numFmtId="0" fontId="0" fillId="2" borderId="8" xfId="0" applyFill="1" applyBorder="1" applyAlignment="1">
      <alignment horizontal="left" vertical="center"/>
    </xf>
    <xf numFmtId="0" fontId="0" fillId="2" borderId="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0" fillId="2" borderId="8" xfId="0" applyFill="1" applyBorder="1" applyAlignment="1">
      <alignment horizontal="left" vertical="top"/>
    </xf>
    <xf numFmtId="0" fontId="0" fillId="2" borderId="1" xfId="0" applyFill="1" applyBorder="1" applyAlignment="1">
      <alignment horizontal="center" vertical="top" wrapText="1"/>
    </xf>
    <xf numFmtId="0" fontId="0" fillId="2" borderId="1" xfId="0" applyFill="1" applyBorder="1" applyAlignment="1">
      <alignment horizontal="center" vertical="top"/>
    </xf>
    <xf numFmtId="0" fontId="0" fillId="2" borderId="29" xfId="0" applyFill="1" applyBorder="1" applyAlignment="1">
      <alignment horizontal="left" vertical="top" wrapText="1"/>
    </xf>
    <xf numFmtId="0" fontId="0" fillId="2" borderId="62" xfId="0" applyFont="1" applyFill="1" applyBorder="1" applyAlignment="1">
      <alignment horizontal="left" vertical="center"/>
    </xf>
    <xf numFmtId="0" fontId="0" fillId="2" borderId="63" xfId="0" applyFont="1" applyFill="1" applyBorder="1" applyAlignment="1">
      <alignment horizontal="left" vertical="center"/>
    </xf>
    <xf numFmtId="0" fontId="0" fillId="2" borderId="48" xfId="0" applyFont="1" applyFill="1" applyBorder="1" applyAlignment="1">
      <alignment horizontal="left" vertical="center"/>
    </xf>
    <xf numFmtId="0" fontId="0" fillId="2" borderId="39" xfId="0" applyFont="1" applyFill="1" applyBorder="1" applyAlignment="1">
      <alignment horizontal="left" vertical="center"/>
    </xf>
    <xf numFmtId="0" fontId="0" fillId="2" borderId="42" xfId="0" applyFont="1" applyFill="1" applyBorder="1" applyAlignment="1">
      <alignment horizontal="center" vertical="center"/>
    </xf>
    <xf numFmtId="0" fontId="0" fillId="2" borderId="4" xfId="0" applyFont="1" applyFill="1" applyBorder="1" applyAlignment="1">
      <alignment horizontal="center" vertical="center"/>
    </xf>
    <xf numFmtId="0" fontId="60" fillId="2" borderId="61" xfId="0" applyFont="1" applyFill="1" applyBorder="1" applyAlignment="1">
      <alignment horizontal="right" vertical="center" textRotation="90"/>
    </xf>
    <xf numFmtId="0" fontId="60" fillId="2" borderId="53" xfId="0" applyFont="1" applyFill="1" applyBorder="1" applyAlignment="1">
      <alignment horizontal="right" vertical="center" textRotation="90"/>
    </xf>
    <xf numFmtId="0" fontId="60" fillId="2" borderId="49" xfId="0" applyFont="1" applyFill="1" applyBorder="1" applyAlignment="1">
      <alignment horizontal="right" vertical="center" textRotation="90"/>
    </xf>
    <xf numFmtId="49" fontId="14" fillId="4" borderId="1" xfId="0" applyNumberFormat="1" applyFont="1" applyFill="1" applyBorder="1" applyAlignment="1">
      <alignment horizontal="left" vertical="center"/>
    </xf>
    <xf numFmtId="0" fontId="14" fillId="4" borderId="1" xfId="0" applyFont="1" applyFill="1" applyBorder="1" applyAlignment="1">
      <alignment horizontal="left" vertical="center" wrapText="1"/>
    </xf>
    <xf numFmtId="0" fontId="14" fillId="4" borderId="33" xfId="0" applyFont="1" applyFill="1" applyBorder="1" applyAlignment="1">
      <alignment horizontal="left" vertical="center"/>
    </xf>
    <xf numFmtId="0" fontId="14" fillId="4" borderId="35" xfId="0" applyFont="1" applyFill="1" applyBorder="1" applyAlignment="1">
      <alignment horizontal="left" vertical="center"/>
    </xf>
    <xf numFmtId="0" fontId="14" fillId="4" borderId="4" xfId="0" applyFont="1" applyFill="1" applyBorder="1" applyAlignment="1">
      <alignment horizontal="left" vertical="center"/>
    </xf>
    <xf numFmtId="0" fontId="14" fillId="4" borderId="33" xfId="0" applyFont="1" applyFill="1" applyBorder="1" applyAlignment="1">
      <alignment horizontal="left" vertical="top" wrapText="1"/>
    </xf>
    <xf numFmtId="0" fontId="14" fillId="4" borderId="4" xfId="0" applyFont="1" applyFill="1" applyBorder="1" applyAlignment="1">
      <alignment horizontal="left" vertical="top" wrapText="1"/>
    </xf>
    <xf numFmtId="0" fontId="30" fillId="2" borderId="8" xfId="0" applyFont="1" applyFill="1" applyBorder="1" applyAlignment="1">
      <alignment horizontal="left" vertical="center"/>
    </xf>
    <xf numFmtId="0" fontId="30" fillId="2" borderId="1" xfId="0" applyFont="1" applyFill="1" applyBorder="1" applyAlignment="1">
      <alignment horizontal="left" vertical="center"/>
    </xf>
    <xf numFmtId="0" fontId="30" fillId="2" borderId="10" xfId="0" applyFont="1" applyFill="1" applyBorder="1" applyAlignment="1">
      <alignment horizontal="left" vertical="center"/>
    </xf>
    <xf numFmtId="0" fontId="30" fillId="2" borderId="11" xfId="0" applyFont="1" applyFill="1" applyBorder="1" applyAlignment="1">
      <alignment horizontal="left" vertical="center"/>
    </xf>
    <xf numFmtId="0" fontId="30" fillId="2" borderId="39" xfId="0" applyFont="1" applyFill="1" applyBorder="1" applyAlignment="1">
      <alignment horizontal="left" vertical="center"/>
    </xf>
    <xf numFmtId="0" fontId="30" fillId="2" borderId="48" xfId="0" applyFont="1" applyFill="1" applyBorder="1" applyAlignment="1">
      <alignment horizontal="left" vertical="center"/>
    </xf>
    <xf numFmtId="0" fontId="30" fillId="2" borderId="42" xfId="0" applyFont="1" applyFill="1" applyBorder="1" applyAlignment="1">
      <alignment horizontal="center" vertical="center"/>
    </xf>
    <xf numFmtId="0" fontId="30" fillId="2" borderId="4" xfId="0" applyFont="1" applyFill="1" applyBorder="1" applyAlignment="1">
      <alignment horizontal="center" vertical="center"/>
    </xf>
    <xf numFmtId="0" fontId="30" fillId="2" borderId="62" xfId="0" applyFont="1" applyFill="1" applyBorder="1" applyAlignment="1">
      <alignment horizontal="left" vertical="center"/>
    </xf>
    <xf numFmtId="0" fontId="30" fillId="2" borderId="33" xfId="0" applyFont="1" applyFill="1" applyBorder="1" applyAlignment="1">
      <alignment horizontal="center" vertical="center"/>
    </xf>
    <xf numFmtId="0" fontId="30" fillId="2" borderId="63" xfId="0" applyFont="1" applyFill="1" applyBorder="1" applyAlignment="1">
      <alignment horizontal="left" vertical="center"/>
    </xf>
    <xf numFmtId="0" fontId="30" fillId="2" borderId="64" xfId="0" applyFont="1" applyFill="1" applyBorder="1" applyAlignment="1">
      <alignment horizontal="center" vertical="center"/>
    </xf>
    <xf numFmtId="0" fontId="30" fillId="2" borderId="1" xfId="0" applyFont="1" applyFill="1" applyBorder="1" applyAlignment="1">
      <alignment horizontal="center" vertical="top" wrapText="1"/>
    </xf>
    <xf numFmtId="0" fontId="30" fillId="2" borderId="29" xfId="0" applyFont="1" applyFill="1" applyBorder="1" applyAlignment="1">
      <alignment horizontal="left" vertical="top" wrapText="1"/>
    </xf>
    <xf numFmtId="0" fontId="30" fillId="0" borderId="1" xfId="0" applyFont="1" applyBorder="1" applyAlignment="1">
      <alignment horizontal="center" vertical="top" wrapText="1"/>
    </xf>
    <xf numFmtId="0" fontId="30" fillId="0" borderId="33" xfId="0" applyFont="1" applyBorder="1" applyAlignment="1">
      <alignment horizontal="center" vertical="top" wrapText="1"/>
    </xf>
    <xf numFmtId="0" fontId="30" fillId="2" borderId="1" xfId="0" applyFont="1" applyFill="1" applyBorder="1" applyAlignment="1">
      <alignment horizontal="center" vertical="top"/>
    </xf>
    <xf numFmtId="0" fontId="37" fillId="2" borderId="62" xfId="0" applyFont="1" applyFill="1" applyBorder="1" applyAlignment="1">
      <alignment horizontal="left" vertical="center" wrapText="1"/>
    </xf>
    <xf numFmtId="0" fontId="37" fillId="2" borderId="48" xfId="0" applyFont="1" applyFill="1" applyBorder="1" applyAlignment="1">
      <alignment horizontal="left" vertical="center" wrapText="1"/>
    </xf>
    <xf numFmtId="0" fontId="30" fillId="2" borderId="8" xfId="0" applyFont="1" applyFill="1" applyBorder="1" applyAlignment="1">
      <alignment horizontal="left" vertical="top"/>
    </xf>
    <xf numFmtId="0" fontId="30" fillId="0" borderId="35" xfId="0" applyFont="1" applyBorder="1" applyAlignment="1">
      <alignment horizontal="center" vertical="top" wrapText="1"/>
    </xf>
  </cellXfs>
  <cellStyles count="3">
    <cellStyle name="Hyperlink" xfId="1" builtinId="8"/>
    <cellStyle name="Procent" xfId="2" builtinId="5"/>
    <cellStyle name="Standaard" xfId="0" builtinId="0"/>
  </cellStyles>
  <dxfs count="7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59996337778862885"/>
        </patternFill>
      </fill>
    </dxf>
    <dxf>
      <fill>
        <patternFill>
          <bgColor theme="5" tint="0.59996337778862885"/>
        </patternFill>
      </fill>
    </dxf>
    <dxf>
      <fill>
        <patternFill patternType="lightDown">
          <fgColor theme="3" tint="0.79998168889431442"/>
        </patternFill>
      </fill>
    </dxf>
    <dxf>
      <fill>
        <patternFill>
          <bgColor rgb="FFFFFFCC"/>
        </patternFill>
      </fill>
    </dxf>
    <dxf>
      <fill>
        <patternFill>
          <bgColor theme="5" tint="0.79998168889431442"/>
        </patternFill>
      </fill>
    </dxf>
    <dxf>
      <font>
        <b/>
        <i/>
        <color rgb="FFFF0000"/>
      </font>
      <fill>
        <patternFill>
          <bgColor theme="5" tint="0.59996337778862885"/>
        </patternFill>
      </fill>
    </dxf>
    <dxf>
      <font>
        <b/>
        <i/>
        <color theme="9"/>
      </font>
      <fill>
        <patternFill>
          <bgColor theme="5" tint="0.79998168889431442"/>
        </patternFill>
      </fill>
    </dxf>
    <dxf>
      <font>
        <b/>
        <i/>
        <color theme="6"/>
      </font>
      <numFmt numFmtId="0" formatCode="General"/>
      <fill>
        <patternFill>
          <bgColor theme="5" tint="0.79998168889431442"/>
        </patternFill>
      </fill>
    </dxf>
    <dxf>
      <font>
        <b/>
        <i/>
        <color rgb="FF00B0F0"/>
      </font>
      <fill>
        <patternFill>
          <bgColor theme="5" tint="0.59996337778862885"/>
        </patternFill>
      </fill>
    </dxf>
    <dxf>
      <fill>
        <patternFill patternType="lightUp">
          <fgColor theme="4" tint="0.59996337778862885"/>
          <bgColor rgb="FFFFFFCC"/>
        </patternFill>
      </fill>
    </dxf>
    <dxf>
      <font>
        <b val="0"/>
        <i/>
      </font>
      <fill>
        <patternFill patternType="lightUp">
          <fgColor theme="3" tint="0.79995117038483843"/>
        </patternFill>
      </fill>
    </dxf>
    <dxf>
      <font>
        <b val="0"/>
        <i/>
        <strike val="0"/>
      </font>
      <fill>
        <patternFill patternType="lightUp">
          <fgColor theme="3" tint="0.79998168889431442"/>
          <bgColor rgb="FFFFFFCC"/>
        </patternFill>
      </fill>
    </dxf>
    <dxf>
      <font>
        <b val="0"/>
        <i/>
      </font>
      <fill>
        <patternFill patternType="lightUp">
          <fgColor theme="3" tint="0.79998168889431442"/>
          <bgColor rgb="FFFFFFCC"/>
        </patternFill>
      </fill>
    </dxf>
    <dxf>
      <font>
        <b val="0"/>
        <i/>
      </font>
      <fill>
        <patternFill patternType="lightUp">
          <fgColor theme="3" tint="0.79998168889431442"/>
          <bgColor rgb="FFFFFFCC"/>
        </patternFill>
      </fill>
    </dxf>
    <dxf>
      <font>
        <b val="0"/>
        <i/>
      </font>
      <fill>
        <patternFill patternType="lightUp">
          <fgColor theme="3" tint="0.79998168889431442"/>
          <bgColor rgb="FFFFFFCC"/>
        </patternFill>
      </fill>
    </dxf>
    <dxf>
      <fill>
        <patternFill>
          <bgColor theme="6" tint="0.79998168889431442"/>
        </patternFill>
      </fill>
    </dxf>
    <dxf>
      <fill>
        <patternFill>
          <bgColor rgb="FFFFFFCC"/>
        </patternFill>
      </fill>
    </dxf>
    <dxf>
      <fill>
        <patternFill>
          <bgColor theme="5" tint="0.79998168889431442"/>
        </patternFill>
      </fill>
    </dxf>
    <dxf>
      <fill>
        <patternFill>
          <bgColor rgb="FFFFFF00"/>
        </patternFill>
      </fill>
    </dxf>
    <dxf>
      <fill>
        <patternFill>
          <bgColor rgb="FF92D050"/>
        </patternFill>
      </fill>
    </dxf>
    <dxf>
      <fill>
        <patternFill>
          <bgColor rgb="FFFFC000"/>
        </patternFill>
      </fill>
    </dxf>
    <dxf>
      <font>
        <color theme="0"/>
      </font>
      <fill>
        <patternFill>
          <bgColor rgb="FFFF0000"/>
        </patternFill>
      </fill>
    </dxf>
    <dxf>
      <fill>
        <patternFill patternType="lightDown">
          <fgColor theme="4" tint="0.59996337778862885"/>
          <bgColor rgb="FFFFFFCC"/>
        </patternFill>
      </fill>
    </dxf>
    <dxf>
      <fill>
        <patternFill patternType="lightDown">
          <fgColor theme="4" tint="0.59996337778862885"/>
          <bgColor rgb="FFFFFFCC"/>
        </patternFill>
      </fill>
    </dxf>
    <dxf>
      <fill>
        <patternFill patternType="lightDown">
          <fgColor theme="4" tint="0.59996337778862885"/>
          <bgColor rgb="FFFFFFCC"/>
        </patternFill>
      </fill>
    </dxf>
    <dxf>
      <fill>
        <patternFill patternType="lightDown">
          <fgColor theme="4" tint="0.59996337778862885"/>
          <bgColor rgb="FFFFFFCC"/>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5" tint="0.59996337778862885"/>
        </patternFill>
      </fill>
    </dxf>
    <dxf>
      <fill>
        <patternFill patternType="lightUp">
          <fgColor theme="4" tint="0.59996337778862885"/>
          <bgColor rgb="FFFFFFCC"/>
        </patternFill>
      </fill>
    </dxf>
    <dxf>
      <fill>
        <patternFill patternType="lightDown">
          <fgColor theme="3" tint="0.79998168889431442"/>
        </patternFill>
      </fill>
    </dxf>
    <dxf>
      <fill>
        <patternFill>
          <bgColor rgb="FFFFFFCC"/>
        </patternFill>
      </fill>
    </dxf>
    <dxf>
      <fill>
        <patternFill patternType="lightDown">
          <fgColor theme="4" tint="0.59996337778862885"/>
          <bgColor rgb="FFFFFFCC"/>
        </patternFill>
      </fill>
    </dxf>
    <dxf>
      <fill>
        <patternFill patternType="lightUp">
          <fgColor theme="3" tint="0.79998168889431442"/>
        </patternFill>
      </fill>
    </dxf>
    <dxf>
      <fill>
        <patternFill>
          <bgColor theme="5" tint="0.79998168889431442"/>
        </patternFill>
      </fill>
    </dxf>
    <dxf>
      <font>
        <b/>
        <i/>
        <color rgb="FFFF0000"/>
      </font>
      <fill>
        <patternFill>
          <bgColor theme="5" tint="0.59996337778862885"/>
        </patternFill>
      </fill>
    </dxf>
    <dxf>
      <font>
        <b/>
        <i/>
        <color theme="9"/>
      </font>
      <fill>
        <patternFill>
          <bgColor theme="5" tint="0.79998168889431442"/>
        </patternFill>
      </fill>
    </dxf>
    <dxf>
      <font>
        <b/>
        <i/>
        <color theme="6"/>
      </font>
      <numFmt numFmtId="0" formatCode="General"/>
      <fill>
        <patternFill>
          <bgColor theme="5" tint="0.79998168889431442"/>
        </patternFill>
      </fill>
    </dxf>
    <dxf>
      <font>
        <b/>
        <i/>
        <color rgb="FF00B0F0"/>
      </font>
      <fill>
        <patternFill>
          <bgColor theme="5" tint="0.59996337778862885"/>
        </patternFill>
      </fill>
    </dxf>
    <dxf>
      <fill>
        <patternFill patternType="lightUp">
          <fgColor theme="4" tint="0.59996337778862885"/>
          <bgColor rgb="FFFFFFCC"/>
        </patternFill>
      </fill>
    </dxf>
    <dxf>
      <fill>
        <patternFill patternType="lightDown">
          <fgColor theme="3" tint="0.79992065187536243"/>
          <bgColor rgb="FFFFFFCC"/>
        </patternFill>
      </fill>
    </dxf>
    <dxf>
      <font>
        <b val="0"/>
        <i/>
      </font>
      <fill>
        <patternFill patternType="lightUp">
          <fgColor theme="3" tint="0.79995117038483843"/>
        </patternFill>
      </fill>
    </dxf>
    <dxf>
      <font>
        <b val="0"/>
        <i/>
        <strike val="0"/>
      </font>
      <fill>
        <patternFill patternType="lightUp">
          <fgColor theme="3" tint="0.79998168889431442"/>
          <bgColor rgb="FFFFFFCC"/>
        </patternFill>
      </fill>
    </dxf>
    <dxf>
      <font>
        <b val="0"/>
        <i/>
      </font>
      <fill>
        <patternFill patternType="lightUp">
          <fgColor theme="3" tint="0.79998168889431442"/>
          <bgColor rgb="FFFFFFCC"/>
        </patternFill>
      </fill>
    </dxf>
    <dxf>
      <font>
        <b val="0"/>
        <i/>
      </font>
      <fill>
        <patternFill patternType="lightUp">
          <fgColor theme="3" tint="0.79998168889431442"/>
          <bgColor rgb="FFFFFFCC"/>
        </patternFill>
      </fill>
    </dxf>
    <dxf>
      <font>
        <b val="0"/>
        <i/>
      </font>
      <fill>
        <patternFill patternType="lightUp">
          <fgColor theme="3" tint="0.79998168889431442"/>
          <bgColor rgb="FFFFFFCC"/>
        </patternFill>
      </fill>
    </dxf>
    <dxf>
      <fill>
        <patternFill patternType="lightUp">
          <fgColor theme="4" tint="0.59996337778862885"/>
          <bgColor rgb="FFFFFFCC"/>
        </patternFill>
      </fill>
    </dxf>
    <dxf>
      <fill>
        <patternFill>
          <bgColor theme="6" tint="0.79998168889431442"/>
        </patternFill>
      </fill>
    </dxf>
    <dxf>
      <fill>
        <patternFill>
          <bgColor rgb="FFFFFFCC"/>
        </patternFill>
      </fill>
    </dxf>
    <dxf>
      <fill>
        <patternFill>
          <bgColor theme="5" tint="0.79998168889431442"/>
        </patternFill>
      </fill>
    </dxf>
    <dxf>
      <fill>
        <patternFill>
          <bgColor rgb="FFFFFF00"/>
        </patternFill>
      </fill>
    </dxf>
    <dxf>
      <fill>
        <patternFill>
          <bgColor rgb="FF92D050"/>
        </patternFill>
      </fill>
    </dxf>
    <dxf>
      <fill>
        <patternFill>
          <bgColor rgb="FFFFC000"/>
        </patternFill>
      </fill>
    </dxf>
    <dxf>
      <font>
        <color theme="0"/>
      </font>
      <fill>
        <patternFill>
          <bgColor rgb="FFFF0000"/>
        </patternFill>
      </fill>
    </dxf>
    <dxf>
      <font>
        <color rgb="FFFF0000"/>
      </font>
    </dxf>
    <dxf>
      <font>
        <color rgb="FFFF0000"/>
      </font>
    </dxf>
  </dxfs>
  <tableStyles count="0" defaultTableStyle="TableStyleMedium2" defaultPivotStyle="PivotStyleLight16"/>
  <colors>
    <mruColors>
      <color rgb="FFFFFFFF"/>
      <color rgb="FFFFFFCC"/>
      <color rgb="FFFFFF81"/>
      <color rgb="FF00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styles" Target="styles.xml"/><Relationship Id="rId5" Type="http://schemas.openxmlformats.org/officeDocument/2006/relationships/worksheet" Target="worksheets/sheet4.xml"/><Relationship Id="rId10" Type="http://schemas.openxmlformats.org/officeDocument/2006/relationships/theme" Target="theme/theme1.xml"/><Relationship Id="rId4" Type="http://schemas.openxmlformats.org/officeDocument/2006/relationships/chartsheet" Target="chartsheets/sheet1.xml"/><Relationship Id="rId9"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zuurstofvraag (direct en indirect) per oppervlakte-eenheid en bron</a:t>
            </a:r>
          </a:p>
        </c:rich>
      </c:tx>
      <c:layout/>
      <c:overlay val="1"/>
    </c:title>
    <c:autoTitleDeleted val="0"/>
    <c:plotArea>
      <c:layout>
        <c:manualLayout>
          <c:layoutTarget val="inner"/>
          <c:xMode val="edge"/>
          <c:yMode val="edge"/>
          <c:x val="0.15442692924327944"/>
          <c:y val="0.18632702395297482"/>
          <c:w val="0.80921982859787622"/>
          <c:h val="0.53685300513149792"/>
        </c:manualLayout>
      </c:layout>
      <c:barChart>
        <c:barDir val="col"/>
        <c:grouping val="stacked"/>
        <c:varyColors val="0"/>
        <c:ser>
          <c:idx val="0"/>
          <c:order val="0"/>
          <c:tx>
            <c:strRef>
              <c:f>'figuren belasting'!$A$109:$B$109</c:f>
              <c:strCache>
                <c:ptCount val="1"/>
                <c:pt idx="0">
                  <c:v>1 overstort gemengd stelsel</c:v>
                </c:pt>
              </c:strCache>
            </c:strRef>
          </c:tx>
          <c:spPr>
            <a:solidFill>
              <a:srgbClr val="FF00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belasting'!$Q$109:$AB$109</c:f>
              <c:numCache>
                <c:formatCode>0.00</c:formatCode>
                <c:ptCount val="12"/>
                <c:pt idx="0">
                  <c:v>0.96480136986301379</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999-4745-B4DD-869E83AF91BD}"/>
            </c:ext>
          </c:extLst>
        </c:ser>
        <c:ser>
          <c:idx val="18"/>
          <c:order val="1"/>
          <c:tx>
            <c:strRef>
              <c:f>'figuren belasting'!$A$110:$B$110</c:f>
              <c:strCache>
                <c:ptCount val="1"/>
                <c:pt idx="0">
                  <c:v>2 overstort gemengd stelsel+BB-basin</c:v>
                </c:pt>
              </c:strCache>
            </c:strRef>
          </c:tx>
          <c:spPr>
            <a:solidFill>
              <a:srgbClr val="FFC0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belasting'!$Q$110:$AB$110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F999-4745-B4DD-869E83AF91BD}"/>
            </c:ext>
          </c:extLst>
        </c:ser>
        <c:ser>
          <c:idx val="1"/>
          <c:order val="2"/>
          <c:tx>
            <c:strRef>
              <c:f>'figuren belasting'!$A$111:$B$111</c:f>
              <c:strCache>
                <c:ptCount val="1"/>
                <c:pt idx="0">
                  <c:v>3 DWA-nooduitlaat</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belasting'!$Q$111:$AB$111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F999-4745-B4DD-869E83AF91BD}"/>
            </c:ext>
          </c:extLst>
        </c:ser>
        <c:ser>
          <c:idx val="2"/>
          <c:order val="3"/>
          <c:tx>
            <c:strRef>
              <c:f>'figuren belasting'!$A$112:$B$112</c:f>
              <c:strCache>
                <c:ptCount val="1"/>
                <c:pt idx="0">
                  <c:v>4 RWZI effluent</c:v>
                </c:pt>
              </c:strCache>
            </c:strRef>
          </c:tx>
          <c:spPr>
            <a:solidFill>
              <a:schemeClr val="tx1">
                <a:lumMod val="50000"/>
                <a:lumOff val="5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belasting'!$Q$112:$AB$112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3-F999-4745-B4DD-869E83AF91BD}"/>
            </c:ext>
          </c:extLst>
        </c:ser>
        <c:ser>
          <c:idx val="3"/>
          <c:order val="4"/>
          <c:tx>
            <c:strRef>
              <c:f>'figuren belasting'!$A$113:$B$113</c:f>
              <c:strCache>
                <c:ptCount val="1"/>
                <c:pt idx="0">
                  <c:v>5 hemelwaterafvoer</c:v>
                </c:pt>
              </c:strCache>
            </c:strRef>
          </c:tx>
          <c:spPr>
            <a:solidFill>
              <a:schemeClr val="accent1">
                <a:lumMod val="40000"/>
                <a:lumOff val="6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belasting'!$Q$113:$AB$113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4-F999-4745-B4DD-869E83AF91BD}"/>
            </c:ext>
          </c:extLst>
        </c:ser>
        <c:ser>
          <c:idx val="4"/>
          <c:order val="5"/>
          <c:tx>
            <c:strRef>
              <c:f>'figuren belasting'!$A$114:$B$114</c:f>
              <c:strCache>
                <c:ptCount val="1"/>
                <c:pt idx="0">
                  <c:v>6 septic tanks</c:v>
                </c:pt>
              </c:strCache>
            </c:strRef>
          </c:tx>
          <c:spPr>
            <a:solidFill>
              <a:schemeClr val="accent6">
                <a:lumMod val="75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belasting'!$Q$114:$AB$114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5-F999-4745-B4DD-869E83AF91BD}"/>
            </c:ext>
          </c:extLst>
        </c:ser>
        <c:ser>
          <c:idx val="5"/>
          <c:order val="6"/>
          <c:tx>
            <c:strRef>
              <c:f>'figuren belasting'!$A$115:$B$115</c:f>
              <c:strCache>
                <c:ptCount val="1"/>
                <c:pt idx="0">
                  <c:v>7 IBA's</c:v>
                </c:pt>
              </c:strCache>
            </c:strRef>
          </c:tx>
          <c:spPr>
            <a:solidFill>
              <a:schemeClr val="tx2">
                <a:lumMod val="60000"/>
                <a:lumOff val="4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belasting'!$Q$115:$AB$115</c:f>
              <c:numCache>
                <c:formatCode>0.00</c:formatCode>
                <c:ptCount val="12"/>
                <c:pt idx="0">
                  <c:v>0.12409375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6-F999-4745-B4DD-869E83AF91BD}"/>
            </c:ext>
          </c:extLst>
        </c:ser>
        <c:ser>
          <c:idx val="6"/>
          <c:order val="7"/>
          <c:tx>
            <c:strRef>
              <c:f>'figuren belasting'!$A$116:$B$116</c:f>
              <c:strCache>
                <c:ptCount val="1"/>
                <c:pt idx="0">
                  <c:v>8 bladval loofbomen</c:v>
                </c:pt>
              </c:strCache>
            </c:strRef>
          </c:tx>
          <c:spPr>
            <a:solidFill>
              <a:srgbClr val="92D05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belasting'!$Q$116:$AB$116</c:f>
              <c:numCache>
                <c:formatCode>0.00</c:formatCode>
                <c:ptCount val="12"/>
                <c:pt idx="0">
                  <c:v>0.25687500000000002</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7-F999-4745-B4DD-869E83AF91BD}"/>
            </c:ext>
          </c:extLst>
        </c:ser>
        <c:ser>
          <c:idx val="7"/>
          <c:order val="8"/>
          <c:tx>
            <c:strRef>
              <c:f>'figuren belasting'!$A$117:$B$117</c:f>
              <c:strCache>
                <c:ptCount val="1"/>
                <c:pt idx="0">
                  <c:v>9 bladval naaldbomen</c:v>
                </c:pt>
              </c:strCache>
            </c:strRef>
          </c:tx>
          <c:spPr>
            <a:solidFill>
              <a:srgbClr val="00B05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belasting'!$Q$117:$AB$117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8-F999-4745-B4DD-869E83AF91BD}"/>
            </c:ext>
          </c:extLst>
        </c:ser>
        <c:ser>
          <c:idx val="8"/>
          <c:order val="9"/>
          <c:tx>
            <c:strRef>
              <c:f>'figuren belasting'!$A$118:$B$118</c:f>
              <c:strCache>
                <c:ptCount val="1"/>
                <c:pt idx="0">
                  <c:v>10 hondenpoep</c:v>
                </c:pt>
              </c:strCache>
            </c:strRef>
          </c:tx>
          <c:spPr>
            <a:solidFill>
              <a:srgbClr val="996633"/>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belasting'!$Q$118:$AB$118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9-F999-4745-B4DD-869E83AF91BD}"/>
            </c:ext>
          </c:extLst>
        </c:ser>
        <c:ser>
          <c:idx val="9"/>
          <c:order val="10"/>
          <c:tx>
            <c:strRef>
              <c:f>'figuren belasting'!$A$119:$B$119</c:f>
              <c:strCache>
                <c:ptCount val="1"/>
                <c:pt idx="0">
                  <c:v>11 voeren vogels</c:v>
                </c:pt>
              </c:strCache>
            </c:strRef>
          </c:tx>
          <c:spPr>
            <a:solidFill>
              <a:schemeClr val="accent2">
                <a:lumMod val="40000"/>
                <a:lumOff val="6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belasting'!$Q$119:$AB$119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A-F999-4745-B4DD-869E83AF91BD}"/>
            </c:ext>
          </c:extLst>
        </c:ser>
        <c:ser>
          <c:idx val="10"/>
          <c:order val="11"/>
          <c:tx>
            <c:strRef>
              <c:f>'figuren belasting'!$A$120:$B$120</c:f>
              <c:strCache>
                <c:ptCount val="1"/>
                <c:pt idx="0">
                  <c:v>12 lokvoer vissen</c:v>
                </c:pt>
              </c:strCache>
            </c:strRef>
          </c:tx>
          <c:spPr>
            <a:solidFill>
              <a:srgbClr val="FFFF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belasting'!$Q$120:$AB$120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B-F999-4745-B4DD-869E83AF91BD}"/>
            </c:ext>
          </c:extLst>
        </c:ser>
        <c:ser>
          <c:idx val="11"/>
          <c:order val="12"/>
          <c:tx>
            <c:strRef>
              <c:f>'figuren belasting'!$A$121:$B$121</c:f>
              <c:strCache>
                <c:ptCount val="1"/>
                <c:pt idx="0">
                  <c:v>13 afspoeling mest</c:v>
                </c:pt>
              </c:strCache>
            </c:strRef>
          </c:tx>
          <c:spPr>
            <a:solidFill>
              <a:schemeClr val="bg2">
                <a:lumMod val="5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belasting'!$Q$121:$AB$121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C-F999-4745-B4DD-869E83AF91BD}"/>
            </c:ext>
          </c:extLst>
        </c:ser>
        <c:ser>
          <c:idx val="17"/>
          <c:order val="13"/>
          <c:tx>
            <c:strRef>
              <c:f>'figuren belasting'!$A$122:$B$122</c:f>
              <c:strCache>
                <c:ptCount val="1"/>
                <c:pt idx="0">
                  <c:v>14 aanvoerwater</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belasting'!$Q$122:$AB$122</c:f>
              <c:numCache>
                <c:formatCode>0.00</c:formatCode>
                <c:ptCount val="12"/>
                <c:pt idx="0">
                  <c:v>0.21854999999999999</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D-F999-4745-B4DD-869E83AF91BD}"/>
            </c:ext>
          </c:extLst>
        </c:ser>
        <c:ser>
          <c:idx val="12"/>
          <c:order val="14"/>
          <c:tx>
            <c:strRef>
              <c:f>'figuren belasting'!$A$123:$B$123</c:f>
              <c:strCache>
                <c:ptCount val="1"/>
                <c:pt idx="0">
                  <c:v>15 overige bron1</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belasting'!$Q$123:$AB$123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E-F999-4745-B4DD-869E83AF91BD}"/>
            </c:ext>
          </c:extLst>
        </c:ser>
        <c:ser>
          <c:idx val="13"/>
          <c:order val="15"/>
          <c:tx>
            <c:strRef>
              <c:f>'figuren belasting'!$A$124:$B$124</c:f>
              <c:strCache>
                <c:ptCount val="1"/>
                <c:pt idx="0">
                  <c:v>16 overige bron2</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belasting'!$Q$124:$AB$124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F-F999-4745-B4DD-869E83AF91BD}"/>
            </c:ext>
          </c:extLst>
        </c:ser>
        <c:ser>
          <c:idx val="14"/>
          <c:order val="16"/>
          <c:tx>
            <c:strRef>
              <c:f>'figuren belasting'!$A$125:$B$125</c:f>
              <c:strCache>
                <c:ptCount val="1"/>
                <c:pt idx="0">
                  <c:v>17 overige bron3</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belasting'!$Q$125:$AB$125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0-F999-4745-B4DD-869E83AF91BD}"/>
            </c:ext>
          </c:extLst>
        </c:ser>
        <c:ser>
          <c:idx val="15"/>
          <c:order val="17"/>
          <c:tx>
            <c:strRef>
              <c:f>'figuren belasting'!$A$126:$B$126</c:f>
              <c:strCache>
                <c:ptCount val="1"/>
                <c:pt idx="0">
                  <c:v>18 overige bron4</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belasting'!$Q$126:$AB$126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1-F999-4745-B4DD-869E83AF91BD}"/>
            </c:ext>
          </c:extLst>
        </c:ser>
        <c:dLbls>
          <c:showLegendKey val="0"/>
          <c:showVal val="0"/>
          <c:showCatName val="0"/>
          <c:showSerName val="0"/>
          <c:showPercent val="0"/>
          <c:showBubbleSize val="0"/>
        </c:dLbls>
        <c:gapWidth val="150"/>
        <c:overlap val="100"/>
        <c:axId val="478840320"/>
        <c:axId val="478011968"/>
      </c:barChart>
      <c:catAx>
        <c:axId val="478840320"/>
        <c:scaling>
          <c:orientation val="minMax"/>
        </c:scaling>
        <c:delete val="0"/>
        <c:axPos val="b"/>
        <c:numFmt formatCode="General" sourceLinked="0"/>
        <c:majorTickMark val="out"/>
        <c:minorTickMark val="none"/>
        <c:tickLblPos val="nextTo"/>
        <c:crossAx val="478011968"/>
        <c:crosses val="autoZero"/>
        <c:auto val="1"/>
        <c:lblAlgn val="ctr"/>
        <c:lblOffset val="100"/>
        <c:noMultiLvlLbl val="0"/>
      </c:catAx>
      <c:valAx>
        <c:axId val="478011968"/>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478840320"/>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sz="1800" b="1" i="0" baseline="0">
                <a:effectLst/>
              </a:rPr>
              <a:t>zuurstofvraag </a:t>
            </a:r>
            <a:r>
              <a:rPr lang="nl-NL" sz="1800" b="1" i="0" u="none" strike="noStrike" baseline="0">
                <a:effectLst/>
              </a:rPr>
              <a:t>(direct en indirect) </a:t>
            </a:r>
            <a:r>
              <a:rPr lang="nl-NL" sz="1800" b="1" i="0" baseline="0">
                <a:effectLst/>
              </a:rPr>
              <a:t>per oppervlakte-eenheid en bron</a:t>
            </a:r>
            <a:endParaRPr lang="nl-NL">
              <a:effectLst/>
            </a:endParaRPr>
          </a:p>
        </c:rich>
      </c:tx>
      <c:layout/>
      <c:overlay val="1"/>
    </c:title>
    <c:autoTitleDeleted val="0"/>
    <c:plotArea>
      <c:layout>
        <c:manualLayout>
          <c:layoutTarget val="inner"/>
          <c:xMode val="edge"/>
          <c:yMode val="edge"/>
          <c:x val="8.4269128443115127E-2"/>
          <c:y val="7.9029245580554963E-2"/>
          <c:w val="0.62346978060716041"/>
          <c:h val="0.64415093734464468"/>
        </c:manualLayout>
      </c:layout>
      <c:barChart>
        <c:barDir val="col"/>
        <c:grouping val="stacked"/>
        <c:varyColors val="0"/>
        <c:ser>
          <c:idx val="0"/>
          <c:order val="0"/>
          <c:tx>
            <c:strRef>
              <c:f>'figuren belasting'!$A$109:$B$109</c:f>
              <c:strCache>
                <c:ptCount val="1"/>
                <c:pt idx="0">
                  <c:v>1 overstort gemengd stelsel</c:v>
                </c:pt>
              </c:strCache>
            </c:strRef>
          </c:tx>
          <c:spPr>
            <a:solidFill>
              <a:srgbClr val="FF00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belasting'!$Q$109:$AB$109</c:f>
              <c:numCache>
                <c:formatCode>0.00</c:formatCode>
                <c:ptCount val="12"/>
                <c:pt idx="0">
                  <c:v>0.96480136986301379</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999-4745-B4DD-869E83AF91BD}"/>
            </c:ext>
          </c:extLst>
        </c:ser>
        <c:ser>
          <c:idx val="18"/>
          <c:order val="1"/>
          <c:tx>
            <c:strRef>
              <c:f>'figuren belasting'!$A$110:$B$110</c:f>
              <c:strCache>
                <c:ptCount val="1"/>
                <c:pt idx="0">
                  <c:v>2 overstort gemengd stelsel+BB-basin</c:v>
                </c:pt>
              </c:strCache>
            </c:strRef>
          </c:tx>
          <c:spPr>
            <a:solidFill>
              <a:srgbClr val="FFC0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belasting'!$Q$110:$AB$110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F999-4745-B4DD-869E83AF91BD}"/>
            </c:ext>
          </c:extLst>
        </c:ser>
        <c:ser>
          <c:idx val="1"/>
          <c:order val="2"/>
          <c:tx>
            <c:strRef>
              <c:f>'figuren belasting'!$A$111:$B$111</c:f>
              <c:strCache>
                <c:ptCount val="1"/>
                <c:pt idx="0">
                  <c:v>3 DWA-nooduitlaat</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belasting'!$Q$111:$AB$111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F999-4745-B4DD-869E83AF91BD}"/>
            </c:ext>
          </c:extLst>
        </c:ser>
        <c:ser>
          <c:idx val="2"/>
          <c:order val="3"/>
          <c:tx>
            <c:strRef>
              <c:f>'figuren belasting'!$A$112:$B$112</c:f>
              <c:strCache>
                <c:ptCount val="1"/>
                <c:pt idx="0">
                  <c:v>4 RWZI effluent</c:v>
                </c:pt>
              </c:strCache>
            </c:strRef>
          </c:tx>
          <c:spPr>
            <a:solidFill>
              <a:schemeClr val="tx1">
                <a:lumMod val="50000"/>
                <a:lumOff val="5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belasting'!$Q$112:$AB$112</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3-F999-4745-B4DD-869E83AF91BD}"/>
            </c:ext>
          </c:extLst>
        </c:ser>
        <c:ser>
          <c:idx val="3"/>
          <c:order val="4"/>
          <c:tx>
            <c:strRef>
              <c:f>'figuren belasting'!$A$113:$B$113</c:f>
              <c:strCache>
                <c:ptCount val="1"/>
                <c:pt idx="0">
                  <c:v>5 hemelwaterafvoer</c:v>
                </c:pt>
              </c:strCache>
            </c:strRef>
          </c:tx>
          <c:spPr>
            <a:solidFill>
              <a:schemeClr val="accent1">
                <a:lumMod val="40000"/>
                <a:lumOff val="6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belasting'!$Q$113:$AB$113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4-F999-4745-B4DD-869E83AF91BD}"/>
            </c:ext>
          </c:extLst>
        </c:ser>
        <c:ser>
          <c:idx val="4"/>
          <c:order val="5"/>
          <c:tx>
            <c:strRef>
              <c:f>'figuren belasting'!$A$114:$B$114</c:f>
              <c:strCache>
                <c:ptCount val="1"/>
                <c:pt idx="0">
                  <c:v>6 septic tanks</c:v>
                </c:pt>
              </c:strCache>
            </c:strRef>
          </c:tx>
          <c:spPr>
            <a:solidFill>
              <a:schemeClr val="accent6">
                <a:lumMod val="75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belasting'!$Q$114:$AB$114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5-F999-4745-B4DD-869E83AF91BD}"/>
            </c:ext>
          </c:extLst>
        </c:ser>
        <c:ser>
          <c:idx val="5"/>
          <c:order val="6"/>
          <c:tx>
            <c:strRef>
              <c:f>'figuren belasting'!$A$115:$B$115</c:f>
              <c:strCache>
                <c:ptCount val="1"/>
                <c:pt idx="0">
                  <c:v>7 IBA's</c:v>
                </c:pt>
              </c:strCache>
            </c:strRef>
          </c:tx>
          <c:spPr>
            <a:solidFill>
              <a:schemeClr val="tx2">
                <a:lumMod val="60000"/>
                <a:lumOff val="4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belasting'!$Q$115:$AB$115</c:f>
              <c:numCache>
                <c:formatCode>0.00</c:formatCode>
                <c:ptCount val="12"/>
                <c:pt idx="0">
                  <c:v>0.12409375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6-F999-4745-B4DD-869E83AF91BD}"/>
            </c:ext>
          </c:extLst>
        </c:ser>
        <c:ser>
          <c:idx val="6"/>
          <c:order val="7"/>
          <c:tx>
            <c:strRef>
              <c:f>'figuren belasting'!$A$116:$B$116</c:f>
              <c:strCache>
                <c:ptCount val="1"/>
                <c:pt idx="0">
                  <c:v>8 bladval loofbomen</c:v>
                </c:pt>
              </c:strCache>
            </c:strRef>
          </c:tx>
          <c:spPr>
            <a:solidFill>
              <a:srgbClr val="92D05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belasting'!$Q$116:$AB$116</c:f>
              <c:numCache>
                <c:formatCode>0.00</c:formatCode>
                <c:ptCount val="12"/>
                <c:pt idx="0">
                  <c:v>0.25687500000000002</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7-F999-4745-B4DD-869E83AF91BD}"/>
            </c:ext>
          </c:extLst>
        </c:ser>
        <c:ser>
          <c:idx val="7"/>
          <c:order val="8"/>
          <c:tx>
            <c:strRef>
              <c:f>'figuren belasting'!$A$117:$B$117</c:f>
              <c:strCache>
                <c:ptCount val="1"/>
                <c:pt idx="0">
                  <c:v>9 bladval naaldbomen</c:v>
                </c:pt>
              </c:strCache>
            </c:strRef>
          </c:tx>
          <c:spPr>
            <a:solidFill>
              <a:srgbClr val="00B05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belasting'!$Q$117:$AB$117</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8-F999-4745-B4DD-869E83AF91BD}"/>
            </c:ext>
          </c:extLst>
        </c:ser>
        <c:ser>
          <c:idx val="8"/>
          <c:order val="9"/>
          <c:tx>
            <c:strRef>
              <c:f>'figuren belasting'!$A$118:$B$118</c:f>
              <c:strCache>
                <c:ptCount val="1"/>
                <c:pt idx="0">
                  <c:v>10 hondenpoep</c:v>
                </c:pt>
              </c:strCache>
            </c:strRef>
          </c:tx>
          <c:spPr>
            <a:solidFill>
              <a:srgbClr val="996633"/>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belasting'!$Q$118:$AB$118</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9-F999-4745-B4DD-869E83AF91BD}"/>
            </c:ext>
          </c:extLst>
        </c:ser>
        <c:ser>
          <c:idx val="9"/>
          <c:order val="10"/>
          <c:tx>
            <c:strRef>
              <c:f>'figuren belasting'!$A$119:$B$119</c:f>
              <c:strCache>
                <c:ptCount val="1"/>
                <c:pt idx="0">
                  <c:v>11 voeren vogels</c:v>
                </c:pt>
              </c:strCache>
            </c:strRef>
          </c:tx>
          <c:spPr>
            <a:solidFill>
              <a:schemeClr val="accent2">
                <a:lumMod val="40000"/>
                <a:lumOff val="6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belasting'!$Q$119:$AB$119</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A-F999-4745-B4DD-869E83AF91BD}"/>
            </c:ext>
          </c:extLst>
        </c:ser>
        <c:ser>
          <c:idx val="10"/>
          <c:order val="11"/>
          <c:tx>
            <c:strRef>
              <c:f>'figuren belasting'!$A$120:$B$120</c:f>
              <c:strCache>
                <c:ptCount val="1"/>
                <c:pt idx="0">
                  <c:v>12 lokvoer vissen</c:v>
                </c:pt>
              </c:strCache>
            </c:strRef>
          </c:tx>
          <c:spPr>
            <a:solidFill>
              <a:srgbClr val="FFFF00"/>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belasting'!$Q$120:$AB$120</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B-F999-4745-B4DD-869E83AF91BD}"/>
            </c:ext>
          </c:extLst>
        </c:ser>
        <c:ser>
          <c:idx val="11"/>
          <c:order val="12"/>
          <c:tx>
            <c:strRef>
              <c:f>'figuren belasting'!$A$121:$B$121</c:f>
              <c:strCache>
                <c:ptCount val="1"/>
                <c:pt idx="0">
                  <c:v>13 afspoeling mest</c:v>
                </c:pt>
              </c:strCache>
            </c:strRef>
          </c:tx>
          <c:spPr>
            <a:solidFill>
              <a:schemeClr val="bg2">
                <a:lumMod val="50000"/>
              </a:schemeClr>
            </a:solidFill>
          </c:spPr>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belasting'!$Q$121:$AB$121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C-F999-4745-B4DD-869E83AF91BD}"/>
            </c:ext>
          </c:extLst>
        </c:ser>
        <c:ser>
          <c:idx val="17"/>
          <c:order val="13"/>
          <c:tx>
            <c:strRef>
              <c:f>'figuren belasting'!$A$122:$B$122</c:f>
              <c:strCache>
                <c:ptCount val="1"/>
                <c:pt idx="0">
                  <c:v>14 aanvoerwater</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belasting'!$Q$122:$AB$122</c:f>
              <c:numCache>
                <c:formatCode>0.00</c:formatCode>
                <c:ptCount val="12"/>
                <c:pt idx="0">
                  <c:v>0.21854999999999999</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D-F999-4745-B4DD-869E83AF91BD}"/>
            </c:ext>
          </c:extLst>
        </c:ser>
        <c:ser>
          <c:idx val="12"/>
          <c:order val="14"/>
          <c:tx>
            <c:strRef>
              <c:f>'figuren belasting'!$A$123:$B$123</c:f>
              <c:strCache>
                <c:ptCount val="1"/>
                <c:pt idx="0">
                  <c:v>15 overige bron1</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belasting'!$Q$123:$AB$123</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E-F999-4745-B4DD-869E83AF91BD}"/>
            </c:ext>
          </c:extLst>
        </c:ser>
        <c:ser>
          <c:idx val="13"/>
          <c:order val="15"/>
          <c:tx>
            <c:strRef>
              <c:f>'figuren belasting'!$A$124:$B$124</c:f>
              <c:strCache>
                <c:ptCount val="1"/>
                <c:pt idx="0">
                  <c:v>16 overige bron2</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belasting'!$Q$124:$AB$124</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F-F999-4745-B4DD-869E83AF91BD}"/>
            </c:ext>
          </c:extLst>
        </c:ser>
        <c:ser>
          <c:idx val="14"/>
          <c:order val="16"/>
          <c:tx>
            <c:strRef>
              <c:f>'figuren belasting'!$A$125:$B$125</c:f>
              <c:strCache>
                <c:ptCount val="1"/>
                <c:pt idx="0">
                  <c:v>17 overige bron3</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belasting'!$Q$125:$AB$125</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0-F999-4745-B4DD-869E83AF91BD}"/>
            </c:ext>
          </c:extLst>
        </c:ser>
        <c:ser>
          <c:idx val="15"/>
          <c:order val="17"/>
          <c:tx>
            <c:strRef>
              <c:f>'figuren belasting'!$A$126:$B$126</c:f>
              <c:strCache>
                <c:ptCount val="1"/>
                <c:pt idx="0">
                  <c:v>18 overige bron4</c:v>
                </c:pt>
              </c:strCache>
            </c:strRef>
          </c:tx>
          <c:invertIfNegative val="0"/>
          <c:cat>
            <c:strRef>
              <c:f>'figuren belasting'!$Q$108:$AB$108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belasting'!$Q$126:$AB$126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1-F999-4745-B4DD-869E83AF91BD}"/>
            </c:ext>
          </c:extLst>
        </c:ser>
        <c:dLbls>
          <c:showLegendKey val="0"/>
          <c:showVal val="0"/>
          <c:showCatName val="0"/>
          <c:showSerName val="0"/>
          <c:showPercent val="0"/>
          <c:showBubbleSize val="0"/>
        </c:dLbls>
        <c:gapWidth val="150"/>
        <c:overlap val="100"/>
        <c:axId val="481266176"/>
        <c:axId val="481402880"/>
      </c:barChart>
      <c:catAx>
        <c:axId val="481266176"/>
        <c:scaling>
          <c:orientation val="minMax"/>
        </c:scaling>
        <c:delete val="0"/>
        <c:axPos val="b"/>
        <c:numFmt formatCode="General" sourceLinked="0"/>
        <c:majorTickMark val="out"/>
        <c:minorTickMark val="none"/>
        <c:tickLblPos val="nextTo"/>
        <c:crossAx val="481402880"/>
        <c:crosses val="autoZero"/>
        <c:auto val="1"/>
        <c:lblAlgn val="ctr"/>
        <c:lblOffset val="100"/>
        <c:noMultiLvlLbl val="0"/>
      </c:catAx>
      <c:valAx>
        <c:axId val="481402880"/>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zuurstofvraag in gram O</a:t>
                </a:r>
                <a:r>
                  <a:rPr lang="nl-NL" baseline="-25000"/>
                  <a:t>2</a:t>
                </a:r>
                <a:r>
                  <a:rPr lang="nl-NL"/>
                  <a:t> per</a:t>
                </a:r>
                <a:r>
                  <a:rPr lang="nl-NL" baseline="0"/>
                  <a:t> m</a:t>
                </a:r>
                <a:r>
                  <a:rPr lang="nl-NL" baseline="30000"/>
                  <a:t>2</a:t>
                </a:r>
                <a:r>
                  <a:rPr lang="nl-NL"/>
                  <a:t> per dag</a:t>
                </a:r>
              </a:p>
            </c:rich>
          </c:tx>
          <c:layout/>
          <c:overlay val="0"/>
        </c:title>
        <c:numFmt formatCode="0.0" sourceLinked="0"/>
        <c:majorTickMark val="out"/>
        <c:minorTickMark val="none"/>
        <c:tickLblPos val="nextTo"/>
        <c:crossAx val="4812661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sz="1800" b="1" i="0" u="none" strike="noStrike" baseline="0">
                <a:effectLst/>
              </a:rPr>
              <a:t>directe- </a:t>
            </a:r>
            <a:r>
              <a:rPr lang="nl-NL"/>
              <a:t>(BZV</a:t>
            </a:r>
            <a:r>
              <a:rPr lang="nl-NL" baseline="0"/>
              <a:t> en NH4) en indirecte (SZV) zuurstofvraag</a:t>
            </a:r>
            <a:endParaRPr lang="nl-NL"/>
          </a:p>
        </c:rich>
      </c:tx>
      <c:layout/>
      <c:overlay val="1"/>
    </c:title>
    <c:autoTitleDeleted val="0"/>
    <c:plotArea>
      <c:layout>
        <c:manualLayout>
          <c:layoutTarget val="inner"/>
          <c:xMode val="edge"/>
          <c:yMode val="edge"/>
          <c:x val="8.4269128443115127E-2"/>
          <c:y val="7.9029245580554963E-2"/>
          <c:w val="0.66514930097388669"/>
          <c:h val="0.64415093734464468"/>
        </c:manualLayout>
      </c:layout>
      <c:barChart>
        <c:barDir val="col"/>
        <c:grouping val="stacked"/>
        <c:varyColors val="0"/>
        <c:ser>
          <c:idx val="0"/>
          <c:order val="0"/>
          <c:tx>
            <c:strRef>
              <c:f>'figuren belasting'!$A$150:$B$150</c:f>
              <c:strCache>
                <c:ptCount val="1"/>
                <c:pt idx="0">
                  <c:v>BZV totaal</c:v>
                </c:pt>
              </c:strCache>
            </c:strRef>
          </c:tx>
          <c:spPr>
            <a:solidFill>
              <a:srgbClr val="FF0000"/>
            </a:solidFill>
          </c:spPr>
          <c:invertIfNegative val="0"/>
          <c:cat>
            <c:strRef>
              <c:f>'figuren belasting'!$C$130:$N$130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belasting'!$C$150:$N$150</c:f>
              <c:numCache>
                <c:formatCode>0</c:formatCode>
                <c:ptCount val="12"/>
                <c:pt idx="0">
                  <c:v>1263</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4F3E-4FC8-8BBD-E0A66C15B4FE}"/>
            </c:ext>
          </c:extLst>
        </c:ser>
        <c:ser>
          <c:idx val="18"/>
          <c:order val="1"/>
          <c:tx>
            <c:strRef>
              <c:f>'figuren belasting'!$A$172:$B$172</c:f>
              <c:strCache>
                <c:ptCount val="1"/>
                <c:pt idx="0">
                  <c:v>NH4 totaal</c:v>
                </c:pt>
              </c:strCache>
            </c:strRef>
          </c:tx>
          <c:spPr>
            <a:solidFill>
              <a:srgbClr val="FFC000"/>
            </a:solidFill>
          </c:spPr>
          <c:invertIfNegative val="0"/>
          <c:cat>
            <c:strRef>
              <c:f>'figuren belasting'!$C$130:$N$130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belasting'!$C$172:$N$172</c:f>
              <c:numCache>
                <c:formatCode>0</c:formatCode>
                <c:ptCount val="12"/>
                <c:pt idx="0">
                  <c:v>543.83000000000015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4F3E-4FC8-8BBD-E0A66C15B4FE}"/>
            </c:ext>
          </c:extLst>
        </c:ser>
        <c:ser>
          <c:idx val="1"/>
          <c:order val="2"/>
          <c:tx>
            <c:strRef>
              <c:f>'figuren belasting'!$A$194:$B$194</c:f>
              <c:strCache>
                <c:ptCount val="1"/>
                <c:pt idx="0">
                  <c:v>SZV totaal</c:v>
                </c:pt>
              </c:strCache>
            </c:strRef>
          </c:tx>
          <c:invertIfNegative val="0"/>
          <c:cat>
            <c:strRef>
              <c:f>'figuren belasting'!$C$130:$N$130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belasting'!$C$194:$N$194</c:f>
              <c:numCache>
                <c:formatCode>0</c:formatCode>
                <c:ptCount val="12"/>
                <c:pt idx="0">
                  <c:v>696.08219178082186</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4F3E-4FC8-8BBD-E0A66C15B4FE}"/>
            </c:ext>
          </c:extLst>
        </c:ser>
        <c:dLbls>
          <c:showLegendKey val="0"/>
          <c:showVal val="0"/>
          <c:showCatName val="0"/>
          <c:showSerName val="0"/>
          <c:showPercent val="0"/>
          <c:showBubbleSize val="0"/>
        </c:dLbls>
        <c:gapWidth val="150"/>
        <c:overlap val="100"/>
        <c:axId val="481267200"/>
        <c:axId val="481406336"/>
      </c:barChart>
      <c:catAx>
        <c:axId val="481267200"/>
        <c:scaling>
          <c:orientation val="minMax"/>
        </c:scaling>
        <c:delete val="0"/>
        <c:axPos val="b"/>
        <c:numFmt formatCode="General" sourceLinked="0"/>
        <c:majorTickMark val="out"/>
        <c:minorTickMark val="none"/>
        <c:tickLblPos val="nextTo"/>
        <c:crossAx val="481406336"/>
        <c:crosses val="autoZero"/>
        <c:auto val="1"/>
        <c:lblAlgn val="ctr"/>
        <c:lblOffset val="100"/>
        <c:noMultiLvlLbl val="0"/>
      </c:catAx>
      <c:valAx>
        <c:axId val="481406336"/>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zuurstofvraag in gram O</a:t>
                </a:r>
                <a:r>
                  <a:rPr lang="nl-NL" baseline="-25000"/>
                  <a:t>2</a:t>
                </a:r>
                <a:r>
                  <a:rPr lang="nl-NL"/>
                  <a:t> per dag</a:t>
                </a:r>
              </a:p>
            </c:rich>
          </c:tx>
          <c:layout/>
          <c:overlay val="0"/>
        </c:title>
        <c:numFmt formatCode="0" sourceLinked="1"/>
        <c:majorTickMark val="out"/>
        <c:minorTickMark val="none"/>
        <c:tickLblPos val="nextTo"/>
        <c:crossAx val="481267200"/>
        <c:crosses val="autoZero"/>
        <c:crossBetween val="between"/>
      </c:valAx>
    </c:plotArea>
    <c:legend>
      <c:legendPos val="r"/>
      <c:layout>
        <c:manualLayout>
          <c:xMode val="edge"/>
          <c:yMode val="edge"/>
          <c:x val="0.76392354150714514"/>
          <c:y val="0.43346113290466487"/>
          <c:w val="8.3107852331093579E-2"/>
          <c:h val="0.1330777341906702"/>
        </c:manualLayout>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nl-NL" sz="1800" b="1" i="0" baseline="0">
                <a:effectLst/>
              </a:rPr>
              <a:t>directe- en indirecte zuurstofvraag per oppervlakte-eenheid</a:t>
            </a:r>
            <a:endParaRPr lang="nl-NL">
              <a:effectLst/>
            </a:endParaRPr>
          </a:p>
        </c:rich>
      </c:tx>
      <c:layout/>
      <c:overlay val="1"/>
    </c:title>
    <c:autoTitleDeleted val="0"/>
    <c:plotArea>
      <c:layout>
        <c:manualLayout>
          <c:layoutTarget val="inner"/>
          <c:xMode val="edge"/>
          <c:yMode val="edge"/>
          <c:x val="8.4269128443115127E-2"/>
          <c:y val="7.9029245580554963E-2"/>
          <c:w val="0.66514930097388669"/>
          <c:h val="0.64415093734464468"/>
        </c:manualLayout>
      </c:layout>
      <c:barChart>
        <c:barDir val="col"/>
        <c:grouping val="stacked"/>
        <c:varyColors val="0"/>
        <c:ser>
          <c:idx val="0"/>
          <c:order val="0"/>
          <c:tx>
            <c:strRef>
              <c:f>'figuren belasting'!$A$150:$B$150</c:f>
              <c:strCache>
                <c:ptCount val="1"/>
                <c:pt idx="0">
                  <c:v>BZV totaal</c:v>
                </c:pt>
              </c:strCache>
            </c:strRef>
          </c:tx>
          <c:spPr>
            <a:solidFill>
              <a:srgbClr val="FF0000"/>
            </a:solidFill>
          </c:spPr>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belasting'!$Q$150:$AB$150</c:f>
              <c:numCache>
                <c:formatCode>0.00</c:formatCode>
                <c:ptCount val="12"/>
                <c:pt idx="0">
                  <c:v>0.78937500000000005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5BF-4828-B52B-F5187256F61C}"/>
            </c:ext>
          </c:extLst>
        </c:ser>
        <c:ser>
          <c:idx val="18"/>
          <c:order val="1"/>
          <c:tx>
            <c:strRef>
              <c:f>'figuren belasting'!$A$172:$B$172</c:f>
              <c:strCache>
                <c:ptCount val="1"/>
                <c:pt idx="0">
                  <c:v>NH4 totaal</c:v>
                </c:pt>
              </c:strCache>
            </c:strRef>
          </c:tx>
          <c:spPr>
            <a:solidFill>
              <a:srgbClr val="FFC000"/>
            </a:solidFill>
          </c:spPr>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belasting'!$Q$172:$AB$172</c:f>
              <c:numCache>
                <c:formatCode>0.00</c:formatCode>
                <c:ptCount val="12"/>
                <c:pt idx="0">
                  <c:v>0.33989375000000011</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5BF-4828-B52B-F5187256F61C}"/>
            </c:ext>
          </c:extLst>
        </c:ser>
        <c:ser>
          <c:idx val="1"/>
          <c:order val="2"/>
          <c:tx>
            <c:strRef>
              <c:f>'figuren belasting'!$A$194:$B$194</c:f>
              <c:strCache>
                <c:ptCount val="1"/>
                <c:pt idx="0">
                  <c:v>SZV totaal</c:v>
                </c:pt>
              </c:strCache>
            </c:strRef>
          </c:tx>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belasting'!$Q$194:$AB$194</c:f>
              <c:numCache>
                <c:formatCode>0.00</c:formatCode>
                <c:ptCount val="12"/>
                <c:pt idx="0">
                  <c:v>0.43505136986301368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95BF-4828-B52B-F5187256F61C}"/>
            </c:ext>
          </c:extLst>
        </c:ser>
        <c:dLbls>
          <c:showLegendKey val="0"/>
          <c:showVal val="0"/>
          <c:showCatName val="0"/>
          <c:showSerName val="0"/>
          <c:showPercent val="0"/>
          <c:showBubbleSize val="0"/>
        </c:dLbls>
        <c:gapWidth val="150"/>
        <c:overlap val="100"/>
        <c:axId val="481665536"/>
        <c:axId val="481408640"/>
      </c:barChart>
      <c:catAx>
        <c:axId val="481665536"/>
        <c:scaling>
          <c:orientation val="minMax"/>
        </c:scaling>
        <c:delete val="0"/>
        <c:axPos val="b"/>
        <c:numFmt formatCode="General" sourceLinked="0"/>
        <c:majorTickMark val="out"/>
        <c:minorTickMark val="none"/>
        <c:tickLblPos val="nextTo"/>
        <c:crossAx val="481408640"/>
        <c:crosses val="autoZero"/>
        <c:auto val="1"/>
        <c:lblAlgn val="ctr"/>
        <c:lblOffset val="100"/>
        <c:noMultiLvlLbl val="0"/>
      </c:catAx>
      <c:valAx>
        <c:axId val="481408640"/>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zuurstofvraag in gram O</a:t>
                </a:r>
                <a:r>
                  <a:rPr lang="nl-NL" baseline="-25000"/>
                  <a:t>2</a:t>
                </a:r>
                <a:r>
                  <a:rPr lang="nl-NL"/>
                  <a:t> per</a:t>
                </a:r>
                <a:r>
                  <a:rPr lang="nl-NL" baseline="0"/>
                  <a:t> m</a:t>
                </a:r>
                <a:r>
                  <a:rPr lang="nl-NL" baseline="30000"/>
                  <a:t>2</a:t>
                </a:r>
                <a:r>
                  <a:rPr lang="nl-NL"/>
                  <a:t> per dag</a:t>
                </a:r>
              </a:p>
            </c:rich>
          </c:tx>
          <c:layout/>
          <c:overlay val="0"/>
        </c:title>
        <c:numFmt formatCode="0.0" sourceLinked="0"/>
        <c:majorTickMark val="out"/>
        <c:minorTickMark val="none"/>
        <c:tickLblPos val="nextTo"/>
        <c:crossAx val="48166553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'figuren toestand'!$A$56</c:f>
              <c:strCache>
                <c:ptCount val="1"/>
                <c:pt idx="0">
                  <c:v>BZV5-gehalte-stationair</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toestand'!$D$56:$O$56</c:f>
              <c:numCache>
                <c:formatCode>0.0</c:formatCode>
                <c:ptCount val="12"/>
                <c:pt idx="0">
                  <c:v>0.50932034467457821</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65C-4F74-9207-450CF11349BF}"/>
            </c:ext>
          </c:extLst>
        </c:ser>
        <c:ser>
          <c:idx val="1"/>
          <c:order val="1"/>
          <c:tx>
            <c:strRef>
              <c:f>'figuren toestand'!$C$57</c:f>
              <c:strCache>
                <c:ptCount val="1"/>
                <c:pt idx="0">
                  <c:v>+ overstort</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toestand'!$D$57:$O$57</c:f>
              <c:numCache>
                <c:formatCode>0.0</c:formatCode>
                <c:ptCount val="12"/>
                <c:pt idx="0">
                  <c:v>1.8453780557285848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165C-4F74-9207-450CF11349BF}"/>
            </c:ext>
          </c:extLst>
        </c:ser>
        <c:dLbls>
          <c:showLegendKey val="0"/>
          <c:showVal val="0"/>
          <c:showCatName val="0"/>
          <c:showSerName val="0"/>
          <c:showPercent val="0"/>
          <c:showBubbleSize val="0"/>
        </c:dLbls>
        <c:gapWidth val="150"/>
        <c:overlap val="100"/>
        <c:axId val="481873920"/>
        <c:axId val="481951744"/>
      </c:barChart>
      <c:lineChart>
        <c:grouping val="standard"/>
        <c:varyColors val="0"/>
        <c:ser>
          <c:idx val="2"/>
          <c:order val="2"/>
          <c:tx>
            <c:strRef>
              <c:f>'figuren toestand'!$A$66</c:f>
              <c:strCache>
                <c:ptCount val="1"/>
                <c:pt idx="0">
                  <c:v>BZV-gehalte-gemeten</c:v>
                </c:pt>
              </c:strCache>
            </c:strRef>
          </c:tx>
          <c:spPr>
            <a:ln>
              <a:noFill/>
            </a:ln>
          </c:spPr>
          <c:marker>
            <c:symbol val="dash"/>
            <c:size val="18"/>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toestand'!$D$66:$O$66</c:f>
              <c:numCache>
                <c:formatCode>General</c:formatCode>
                <c:ptCount val="12"/>
                <c:pt idx="0">
                  <c:v>2</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165C-4F74-9207-450CF11349BF}"/>
            </c:ext>
          </c:extLst>
        </c:ser>
        <c:dLbls>
          <c:showLegendKey val="0"/>
          <c:showVal val="0"/>
          <c:showCatName val="0"/>
          <c:showSerName val="0"/>
          <c:showPercent val="0"/>
          <c:showBubbleSize val="0"/>
        </c:dLbls>
        <c:marker val="1"/>
        <c:smooth val="0"/>
        <c:axId val="481873920"/>
        <c:axId val="481951744"/>
      </c:lineChart>
      <c:catAx>
        <c:axId val="481873920"/>
        <c:scaling>
          <c:orientation val="minMax"/>
        </c:scaling>
        <c:delete val="0"/>
        <c:axPos val="b"/>
        <c:numFmt formatCode="General" sourceLinked="0"/>
        <c:majorTickMark val="out"/>
        <c:minorTickMark val="none"/>
        <c:tickLblPos val="nextTo"/>
        <c:crossAx val="481951744"/>
        <c:crosses val="autoZero"/>
        <c:auto val="1"/>
        <c:lblAlgn val="ctr"/>
        <c:lblOffset val="100"/>
        <c:noMultiLvlLbl val="0"/>
      </c:catAx>
      <c:valAx>
        <c:axId val="481951744"/>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BZV-gehalte (mg/l)</a:t>
                </a:r>
              </a:p>
            </c:rich>
          </c:tx>
          <c:layout/>
          <c:overlay val="0"/>
        </c:title>
        <c:numFmt formatCode="0.0" sourceLinked="1"/>
        <c:majorTickMark val="out"/>
        <c:minorTickMark val="none"/>
        <c:tickLblPos val="nextTo"/>
        <c:crossAx val="481873920"/>
        <c:crosses val="autoZero"/>
        <c:crossBetween val="between"/>
      </c:valAx>
    </c:plotArea>
    <c:legend>
      <c:legendPos val="t"/>
      <c:layout/>
      <c:overlay val="0"/>
    </c:legend>
    <c:plotVisOnly val="1"/>
    <c:dispBlanksAs val="gap"/>
    <c:showDLblsOverMax val="0"/>
  </c:chart>
  <c:txPr>
    <a:bodyPr/>
    <a:lstStyle/>
    <a:p>
      <a:pPr>
        <a:defRPr sz="1200"/>
      </a:pPr>
      <a:endParaRPr lang="nl-NL"/>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'figuren toestand'!$A$58</c:f>
              <c:strCache>
                <c:ptCount val="1"/>
                <c:pt idx="0">
                  <c:v>NH4-N-gehalte-stationair</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toestand'!$D$58:$O$58</c:f>
              <c:numCache>
                <c:formatCode>0.0</c:formatCode>
                <c:ptCount val="12"/>
                <c:pt idx="0">
                  <c:v>0.1647964541763485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F4F-4E20-87A2-F4C62DF6C7CE}"/>
            </c:ext>
          </c:extLst>
        </c:ser>
        <c:ser>
          <c:idx val="1"/>
          <c:order val="1"/>
          <c:tx>
            <c:strRef>
              <c:f>'figuren toestand'!$C$59</c:f>
              <c:strCache>
                <c:ptCount val="1"/>
                <c:pt idx="0">
                  <c:v>+ overstort</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toestand'!$D$59:$O$59</c:f>
              <c:numCache>
                <c:formatCode>0.0</c:formatCode>
                <c:ptCount val="12"/>
                <c:pt idx="0">
                  <c:v>0.29885994188620535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F4F-4E20-87A2-F4C62DF6C7CE}"/>
            </c:ext>
          </c:extLst>
        </c:ser>
        <c:dLbls>
          <c:showLegendKey val="0"/>
          <c:showVal val="0"/>
          <c:showCatName val="0"/>
          <c:showSerName val="0"/>
          <c:showPercent val="0"/>
          <c:showBubbleSize val="0"/>
        </c:dLbls>
        <c:gapWidth val="150"/>
        <c:overlap val="100"/>
        <c:axId val="481875456"/>
        <c:axId val="481954048"/>
      </c:barChart>
      <c:lineChart>
        <c:grouping val="standard"/>
        <c:varyColors val="0"/>
        <c:ser>
          <c:idx val="2"/>
          <c:order val="2"/>
          <c:tx>
            <c:strRef>
              <c:f>'figuren toestand'!$A$65</c:f>
              <c:strCache>
                <c:ptCount val="1"/>
                <c:pt idx="0">
                  <c:v>NH4-N-gehalte-gemeten</c:v>
                </c:pt>
              </c:strCache>
            </c:strRef>
          </c:tx>
          <c:spPr>
            <a:ln>
              <a:noFill/>
            </a:ln>
          </c:spPr>
          <c:marker>
            <c:symbol val="dash"/>
            <c:size val="18"/>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toestand'!$D$65:$O$65</c:f>
              <c:numCache>
                <c:formatCode>General</c:formatCode>
                <c:ptCount val="12"/>
                <c:pt idx="0">
                  <c:v>0.7</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9F4F-4E20-87A2-F4C62DF6C7CE}"/>
            </c:ext>
          </c:extLst>
        </c:ser>
        <c:dLbls>
          <c:showLegendKey val="0"/>
          <c:showVal val="0"/>
          <c:showCatName val="0"/>
          <c:showSerName val="0"/>
          <c:showPercent val="0"/>
          <c:showBubbleSize val="0"/>
        </c:dLbls>
        <c:marker val="1"/>
        <c:smooth val="0"/>
        <c:axId val="481875456"/>
        <c:axId val="481954048"/>
      </c:lineChart>
      <c:catAx>
        <c:axId val="481875456"/>
        <c:scaling>
          <c:orientation val="minMax"/>
        </c:scaling>
        <c:delete val="0"/>
        <c:axPos val="b"/>
        <c:numFmt formatCode="General" sourceLinked="0"/>
        <c:majorTickMark val="out"/>
        <c:minorTickMark val="none"/>
        <c:tickLblPos val="nextTo"/>
        <c:crossAx val="481954048"/>
        <c:crosses val="autoZero"/>
        <c:auto val="1"/>
        <c:lblAlgn val="ctr"/>
        <c:lblOffset val="100"/>
        <c:noMultiLvlLbl val="0"/>
      </c:catAx>
      <c:valAx>
        <c:axId val="481954048"/>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NH4-gehalte (mgN/l)</a:t>
                </a:r>
              </a:p>
            </c:rich>
          </c:tx>
          <c:layout/>
          <c:overlay val="0"/>
        </c:title>
        <c:numFmt formatCode="0.0" sourceLinked="1"/>
        <c:majorTickMark val="out"/>
        <c:minorTickMark val="none"/>
        <c:tickLblPos val="nextTo"/>
        <c:crossAx val="481875456"/>
        <c:crosses val="autoZero"/>
        <c:crossBetween val="between"/>
      </c:valAx>
    </c:plotArea>
    <c:legend>
      <c:legendPos val="t"/>
      <c:layout/>
      <c:overlay val="0"/>
    </c:legend>
    <c:plotVisOnly val="1"/>
    <c:dispBlanksAs val="gap"/>
    <c:showDLblsOverMax val="0"/>
  </c:chart>
  <c:txPr>
    <a:bodyPr/>
    <a:lstStyle/>
    <a:p>
      <a:pPr>
        <a:defRPr sz="1200"/>
      </a:pPr>
      <a:endParaRPr lang="nl-NL"/>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'figuren toestand'!$A$60</c:f>
              <c:strCache>
                <c:ptCount val="1"/>
                <c:pt idx="0">
                  <c:v>zuurstofgehalte-stationair</c:v>
                </c:pt>
              </c:strCache>
            </c:strRef>
          </c:tx>
          <c:spPr>
            <a:ln>
              <a:noFill/>
            </a:ln>
          </c:spPr>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toestand'!$D$60:$O$60</c:f>
              <c:numCache>
                <c:formatCode>0</c:formatCode>
                <c:ptCount val="12"/>
                <c:pt idx="0">
                  <c:v>5.4482953967183807</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E15-4709-99A9-42D5D4297ED1}"/>
            </c:ext>
          </c:extLst>
        </c:ser>
        <c:dLbls>
          <c:showLegendKey val="0"/>
          <c:showVal val="0"/>
          <c:showCatName val="0"/>
          <c:showSerName val="0"/>
          <c:showPercent val="0"/>
          <c:showBubbleSize val="0"/>
        </c:dLbls>
        <c:gapWidth val="150"/>
        <c:axId val="481095680"/>
        <c:axId val="481956352"/>
      </c:barChart>
      <c:lineChart>
        <c:grouping val="standard"/>
        <c:varyColors val="0"/>
        <c:ser>
          <c:idx val="1"/>
          <c:order val="1"/>
          <c:tx>
            <c:strRef>
              <c:f>'figuren toestand'!$C$61</c:f>
              <c:strCache>
                <c:ptCount val="1"/>
                <c:pt idx="0">
                  <c:v>na overstort</c:v>
                </c:pt>
              </c:strCache>
            </c:strRef>
          </c:tx>
          <c:spPr>
            <a:ln>
              <a:noFill/>
            </a:ln>
          </c:spPr>
          <c:marker>
            <c:symbol val="diamond"/>
            <c:size val="16"/>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toestand'!$D$61:$O$61</c:f>
              <c:numCache>
                <c:formatCode>0</c:formatCode>
                <c:ptCount val="12"/>
                <c:pt idx="0">
                  <c:v>3.259218056908181</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6E15-4709-99A9-42D5D4297ED1}"/>
            </c:ext>
          </c:extLst>
        </c:ser>
        <c:ser>
          <c:idx val="2"/>
          <c:order val="2"/>
          <c:tx>
            <c:strRef>
              <c:f>'figuren toestand'!$A$64</c:f>
              <c:strCache>
                <c:ptCount val="1"/>
                <c:pt idx="0">
                  <c:v>zuurstofgehalte-gemeten</c:v>
                </c:pt>
              </c:strCache>
            </c:strRef>
          </c:tx>
          <c:spPr>
            <a:ln>
              <a:noFill/>
            </a:ln>
          </c:spPr>
          <c:marker>
            <c:symbol val="dash"/>
            <c:size val="18"/>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toestand'!$D$64:$O$64</c:f>
              <c:numCache>
                <c:formatCode>General</c:formatCode>
                <c:ptCount val="12"/>
                <c:pt idx="0">
                  <c:v>3.5</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6E15-4709-99A9-42D5D4297ED1}"/>
            </c:ext>
          </c:extLst>
        </c:ser>
        <c:dLbls>
          <c:showLegendKey val="0"/>
          <c:showVal val="0"/>
          <c:showCatName val="0"/>
          <c:showSerName val="0"/>
          <c:showPercent val="0"/>
          <c:showBubbleSize val="0"/>
        </c:dLbls>
        <c:marker val="1"/>
        <c:smooth val="0"/>
        <c:axId val="481095680"/>
        <c:axId val="481956352"/>
      </c:lineChart>
      <c:catAx>
        <c:axId val="481095680"/>
        <c:scaling>
          <c:orientation val="minMax"/>
        </c:scaling>
        <c:delete val="0"/>
        <c:axPos val="b"/>
        <c:numFmt formatCode="General" sourceLinked="0"/>
        <c:majorTickMark val="out"/>
        <c:minorTickMark val="none"/>
        <c:tickLblPos val="nextTo"/>
        <c:crossAx val="481956352"/>
        <c:crossesAt val="-0.1"/>
        <c:auto val="1"/>
        <c:lblAlgn val="ctr"/>
        <c:lblOffset val="100"/>
        <c:noMultiLvlLbl val="0"/>
      </c:catAx>
      <c:valAx>
        <c:axId val="481956352"/>
        <c:scaling>
          <c:orientation val="minMax"/>
          <c:min val="-0.1"/>
        </c:scaling>
        <c:delete val="0"/>
        <c:axPos val="l"/>
        <c:majorGridlines>
          <c:spPr>
            <a:ln>
              <a:solidFill>
                <a:schemeClr val="bg1">
                  <a:lumMod val="85000"/>
                </a:schemeClr>
              </a:solidFill>
            </a:ln>
          </c:spPr>
        </c:majorGridlines>
        <c:title>
          <c:tx>
            <c:rich>
              <a:bodyPr rot="-5400000" vert="horz"/>
              <a:lstStyle/>
              <a:p>
                <a:pPr>
                  <a:defRPr/>
                </a:pPr>
                <a:r>
                  <a:rPr lang="nl-NL"/>
                  <a:t>zuurstofgehalte (mg/l)</a:t>
                </a:r>
              </a:p>
            </c:rich>
          </c:tx>
          <c:layout/>
          <c:overlay val="0"/>
        </c:title>
        <c:numFmt formatCode="0" sourceLinked="0"/>
        <c:majorTickMark val="out"/>
        <c:minorTickMark val="none"/>
        <c:tickLblPos val="nextTo"/>
        <c:crossAx val="481095680"/>
        <c:crosses val="autoZero"/>
        <c:crossBetween val="between"/>
      </c:valAx>
    </c:plotArea>
    <c:legend>
      <c:legendPos val="t"/>
      <c:layout/>
      <c:overlay val="0"/>
    </c:legend>
    <c:plotVisOnly val="1"/>
    <c:dispBlanksAs val="gap"/>
    <c:showDLblsOverMax val="0"/>
  </c:chart>
  <c:txPr>
    <a:bodyPr/>
    <a:lstStyle/>
    <a:p>
      <a:pPr>
        <a:defRPr sz="1200"/>
      </a:pPr>
      <a:endParaRPr lang="nl-NL"/>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'figuren toestand'!$A$68</c:f>
              <c:strCache>
                <c:ptCount val="1"/>
                <c:pt idx="0">
                  <c:v>bronnen --&gt; sediment (SZV)</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toestand'!$D$68:$O$68</c:f>
              <c:numCache>
                <c:formatCode>0.0</c:formatCode>
                <c:ptCount val="12"/>
                <c:pt idx="0">
                  <c:v>0.43505136986301368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E14-446D-9B86-CEFAAF893AE9}"/>
            </c:ext>
          </c:extLst>
        </c:ser>
        <c:dLbls>
          <c:showLegendKey val="0"/>
          <c:showVal val="0"/>
          <c:showCatName val="0"/>
          <c:showSerName val="0"/>
          <c:showPercent val="0"/>
          <c:showBubbleSize val="0"/>
        </c:dLbls>
        <c:gapWidth val="150"/>
        <c:axId val="481876992"/>
        <c:axId val="481958656"/>
      </c:barChart>
      <c:lineChart>
        <c:grouping val="standard"/>
        <c:varyColors val="0"/>
        <c:ser>
          <c:idx val="2"/>
          <c:order val="1"/>
          <c:tx>
            <c:strRef>
              <c:f>'figuren toestand'!$A$69</c:f>
              <c:strCache>
                <c:ptCount val="1"/>
                <c:pt idx="0">
                  <c:v>zuurstofvraag sediment-gemeten</c:v>
                </c:pt>
              </c:strCache>
            </c:strRef>
          </c:tx>
          <c:spPr>
            <a:ln>
              <a:noFill/>
            </a:ln>
          </c:spPr>
          <c:marker>
            <c:symbol val="dash"/>
            <c:size val="18"/>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toestand'!$D$69:$O$69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7E14-446D-9B86-CEFAAF893AE9}"/>
            </c:ext>
          </c:extLst>
        </c:ser>
        <c:dLbls>
          <c:showLegendKey val="0"/>
          <c:showVal val="0"/>
          <c:showCatName val="0"/>
          <c:showSerName val="0"/>
          <c:showPercent val="0"/>
          <c:showBubbleSize val="0"/>
        </c:dLbls>
        <c:marker val="1"/>
        <c:smooth val="0"/>
        <c:axId val="481876992"/>
        <c:axId val="481958656"/>
      </c:lineChart>
      <c:catAx>
        <c:axId val="481876992"/>
        <c:scaling>
          <c:orientation val="minMax"/>
        </c:scaling>
        <c:delete val="0"/>
        <c:axPos val="b"/>
        <c:numFmt formatCode="General" sourceLinked="0"/>
        <c:majorTickMark val="out"/>
        <c:minorTickMark val="none"/>
        <c:tickLblPos val="nextTo"/>
        <c:crossAx val="481958656"/>
        <c:crosses val="autoZero"/>
        <c:auto val="1"/>
        <c:lblAlgn val="ctr"/>
        <c:lblOffset val="100"/>
        <c:noMultiLvlLbl val="0"/>
      </c:catAx>
      <c:valAx>
        <c:axId val="481958656"/>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SZV (gO</a:t>
                </a:r>
                <a:r>
                  <a:rPr lang="nl-NL" baseline="-25000"/>
                  <a:t>2</a:t>
                </a:r>
                <a:r>
                  <a:rPr lang="nl-NL"/>
                  <a:t>/m</a:t>
                </a:r>
                <a:r>
                  <a:rPr lang="nl-NL" baseline="30000"/>
                  <a:t>2</a:t>
                </a:r>
                <a:r>
                  <a:rPr lang="nl-NL"/>
                  <a:t>/d)</a:t>
                </a:r>
              </a:p>
            </c:rich>
          </c:tx>
          <c:layout/>
          <c:overlay val="0"/>
        </c:title>
        <c:numFmt formatCode="0.00" sourceLinked="0"/>
        <c:majorTickMark val="out"/>
        <c:minorTickMark val="none"/>
        <c:tickLblPos val="nextTo"/>
        <c:crossAx val="481876992"/>
        <c:crosses val="autoZero"/>
        <c:crossBetween val="between"/>
      </c:valAx>
    </c:plotArea>
    <c:legend>
      <c:legendPos val="t"/>
      <c:layout/>
      <c:overlay val="0"/>
    </c:legend>
    <c:plotVisOnly val="1"/>
    <c:dispBlanksAs val="gap"/>
    <c:showDLblsOverMax val="0"/>
  </c:chart>
  <c:txPr>
    <a:bodyPr/>
    <a:lstStyle/>
    <a:p>
      <a:pPr>
        <a:defRPr sz="1200"/>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4"/>
          <c:order val="0"/>
          <c:tx>
            <c:strRef>
              <c:f>zuurstofberekening!$E$69</c:f>
              <c:strCache>
                <c:ptCount val="1"/>
                <c:pt idx="0">
                  <c:v>minimaal toelaatbaar O2-gehalte</c:v>
                </c:pt>
              </c:strCache>
            </c:strRef>
          </c:tx>
          <c:spPr>
            <a:solidFill>
              <a:schemeClr val="accent2">
                <a:lumMod val="20000"/>
                <a:lumOff val="80000"/>
              </a:schemeClr>
            </a:solidFill>
            <a:ln w="28575">
              <a:solidFill>
                <a:schemeClr val="bg1">
                  <a:lumMod val="85000"/>
                  <a:alpha val="56000"/>
                </a:schemeClr>
              </a:solidFill>
            </a:ln>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zuurstofberekening!$F$69:$Q$69</c:f>
              <c:numCache>
                <c:formatCode>0.00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xmlns:c16r2="http://schemas.microsoft.com/office/drawing/2015/06/chart">
            <c:ext xmlns:c16="http://schemas.microsoft.com/office/drawing/2014/chart" uri="{C3380CC4-5D6E-409C-BE32-E72D297353CC}">
              <c16:uniqueId val="{00000000-87DD-4F3C-A84B-B4BA0A98133C}"/>
            </c:ext>
          </c:extLst>
        </c:ser>
        <c:ser>
          <c:idx val="6"/>
          <c:order val="1"/>
          <c:tx>
            <c:strRef>
              <c:f>zuurstofberekening!$E$59</c:f>
              <c:strCache>
                <c:ptCount val="1"/>
                <c:pt idx="0">
                  <c:v>water</c:v>
                </c:pt>
              </c:strCache>
            </c:strRef>
          </c:tx>
          <c:spPr>
            <a:solidFill>
              <a:schemeClr val="accent1">
                <a:lumMod val="20000"/>
                <a:lumOff val="80000"/>
              </a:schemeClr>
            </a:solidFill>
            <a:ln w="28575">
              <a:solidFill>
                <a:schemeClr val="bg1">
                  <a:lumMod val="85000"/>
                </a:schemeClr>
              </a:solidFill>
            </a:ln>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zuurstofberekening!$F$59:$Q$59</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xmlns:c16r2="http://schemas.microsoft.com/office/drawing/2015/06/chart">
            <c:ext xmlns:c16="http://schemas.microsoft.com/office/drawing/2014/chart" uri="{C3380CC4-5D6E-409C-BE32-E72D297353CC}">
              <c16:uniqueId val="{00000001-87DD-4F3C-A84B-B4BA0A98133C}"/>
            </c:ext>
          </c:extLst>
        </c:ser>
        <c:ser>
          <c:idx val="0"/>
          <c:order val="2"/>
          <c:tx>
            <c:strRef>
              <c:f>zuurstofberekening!$E$65</c:f>
              <c:strCache>
                <c:ptCount val="1"/>
              </c:strCache>
            </c:strRef>
          </c:tx>
          <c:spPr>
            <a:noFill/>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zuurstofberekening!$F$65:$Q$65</c:f>
              <c:numCache>
                <c:formatCode>0.00</c:formatCode>
                <c:ptCount val="12"/>
              </c:numCache>
            </c:numRef>
          </c:val>
          <c:extLst xmlns:c16r2="http://schemas.microsoft.com/office/drawing/2015/06/chart">
            <c:ext xmlns:c16="http://schemas.microsoft.com/office/drawing/2014/chart" uri="{C3380CC4-5D6E-409C-BE32-E72D297353CC}">
              <c16:uniqueId val="{00000002-87DD-4F3C-A84B-B4BA0A98133C}"/>
            </c:ext>
          </c:extLst>
        </c:ser>
        <c:dLbls>
          <c:showLegendKey val="0"/>
          <c:showVal val="0"/>
          <c:showCatName val="0"/>
          <c:showSerName val="0"/>
          <c:showPercent val="0"/>
          <c:showBubbleSize val="0"/>
        </c:dLbls>
        <c:gapWidth val="0"/>
        <c:overlap val="100"/>
        <c:axId val="478794240"/>
        <c:axId val="478015424"/>
      </c:barChart>
      <c:lineChart>
        <c:grouping val="standard"/>
        <c:varyColors val="0"/>
        <c:ser>
          <c:idx val="1"/>
          <c:order val="3"/>
          <c:tx>
            <c:strRef>
              <c:f>zuurstofberekening!$E$69</c:f>
              <c:strCache>
                <c:ptCount val="1"/>
                <c:pt idx="0">
                  <c:v>minimaal toelaatbaar O2-gehalte</c:v>
                </c:pt>
              </c:strCache>
            </c:strRef>
          </c:tx>
          <c:spPr>
            <a:ln>
              <a:noFill/>
            </a:ln>
          </c:spPr>
          <c:marker>
            <c:symbol val="dash"/>
            <c:size val="8"/>
            <c:spPr>
              <a:solidFill>
                <a:schemeClr val="tx1"/>
              </a:solidFill>
              <a:ln>
                <a:no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zuurstofberekening!$F$69:$Q$69</c:f>
              <c:numCache>
                <c:formatCode>0.00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xmlns:c16r2="http://schemas.microsoft.com/office/drawing/2015/06/chart">
            <c:ext xmlns:c16="http://schemas.microsoft.com/office/drawing/2014/chart" uri="{C3380CC4-5D6E-409C-BE32-E72D297353CC}">
              <c16:uniqueId val="{00000003-87DD-4F3C-A84B-B4BA0A98133C}"/>
            </c:ext>
          </c:extLst>
        </c:ser>
        <c:ser>
          <c:idx val="2"/>
          <c:order val="4"/>
          <c:tx>
            <c:strRef>
              <c:f>zuurstofberekening!$E$73</c:f>
              <c:strCache>
                <c:ptCount val="1"/>
                <c:pt idx="0">
                  <c:v>zuurstof voldoet aan norm</c:v>
                </c:pt>
              </c:strCache>
            </c:strRef>
          </c:tx>
          <c:spPr>
            <a:ln w="28575">
              <a:noFill/>
            </a:ln>
          </c:spPr>
          <c:marker>
            <c:symbol val="circle"/>
            <c:size val="4"/>
            <c:spPr>
              <a:noFill/>
              <a:ln w="28575">
                <a:solidFill>
                  <a:srgbClr val="92D050"/>
                </a:solidFill>
                <a:prstDash val="sysDash"/>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zuurstofberekening!$F$73:$Q$73</c:f>
              <c:numCache>
                <c:formatCode>0.0</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87DD-4F3C-A84B-B4BA0A98133C}"/>
            </c:ext>
          </c:extLst>
        </c:ser>
        <c:ser>
          <c:idx val="3"/>
          <c:order val="5"/>
          <c:tx>
            <c:strRef>
              <c:f>zuurstofberekening!$E$74</c:f>
              <c:strCache>
                <c:ptCount val="1"/>
                <c:pt idx="0">
                  <c:v>zuurstof voldoet niet aan norm</c:v>
                </c:pt>
              </c:strCache>
            </c:strRef>
          </c:tx>
          <c:spPr>
            <a:ln w="28575">
              <a:noFill/>
            </a:ln>
          </c:spPr>
          <c:marker>
            <c:symbol val="circle"/>
            <c:size val="4"/>
            <c:spPr>
              <a:noFill/>
              <a:ln w="28575">
                <a:solidFill>
                  <a:srgbClr val="FF0000"/>
                </a:solidFill>
                <a:prstDash val="sysDash"/>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zuurstofberekening!$F$74:$Q$74</c:f>
              <c:numCache>
                <c:formatCode>0.0</c:formatCode>
                <c:ptCount val="12"/>
                <c:pt idx="0">
                  <c:v>3.259218056908181</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5-87DD-4F3C-A84B-B4BA0A98133C}"/>
            </c:ext>
          </c:extLst>
        </c:ser>
        <c:ser>
          <c:idx val="8"/>
          <c:order val="6"/>
          <c:tx>
            <c:strRef>
              <c:f>zuurstofberekening!$E$68</c:f>
              <c:strCache>
                <c:ptCount val="1"/>
                <c:pt idx="0">
                  <c:v>O2 stationair</c:v>
                </c:pt>
              </c:strCache>
            </c:strRef>
          </c:tx>
          <c:spPr>
            <a:ln w="3175">
              <a:noFill/>
            </a:ln>
          </c:spPr>
          <c:marker>
            <c:symbol val="circle"/>
            <c:size val="3"/>
            <c:spPr>
              <a:solidFill>
                <a:schemeClr val="bg1"/>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zuurstofberekening!$F$68:$Q$68</c:f>
              <c:numCache>
                <c:formatCode>0.00</c:formatCode>
                <c:ptCount val="12"/>
                <c:pt idx="0">
                  <c:v>5.9652944640869032</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7-87DD-4F3C-A84B-B4BA0A98133C}"/>
            </c:ext>
          </c:extLst>
        </c:ser>
        <c:ser>
          <c:idx val="5"/>
          <c:order val="7"/>
          <c:tx>
            <c:strRef>
              <c:f>zuurstofberekening!$E$66</c:f>
              <c:strCache>
                <c:ptCount val="1"/>
                <c:pt idx="0">
                  <c:v>O2 stationair + drijflagen</c:v>
                </c:pt>
              </c:strCache>
            </c:strRef>
          </c:tx>
          <c:spPr>
            <a:ln w="3175">
              <a:noFill/>
            </a:ln>
          </c:spPr>
          <c:marker>
            <c:symbol val="circle"/>
            <c:size val="3"/>
            <c:spPr>
              <a:solidFill>
                <a:schemeClr val="bg1">
                  <a:lumMod val="50000"/>
                </a:schemeClr>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zuurstofberekening!$F$66:$Q$66</c:f>
              <c:numCache>
                <c:formatCode>0.00</c:formatCode>
                <c:ptCount val="12"/>
                <c:pt idx="0">
                  <c:v>5.4482953967183807</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6-87DD-4F3C-A84B-B4BA0A98133C}"/>
            </c:ext>
          </c:extLst>
        </c:ser>
        <c:ser>
          <c:idx val="7"/>
          <c:order val="8"/>
          <c:tx>
            <c:strRef>
              <c:f>zuurstofberekening!$E$67</c:f>
              <c:strCache>
                <c:ptCount val="1"/>
                <c:pt idx="0">
                  <c:v>O2 stationair + overstort + drijflagen</c:v>
                </c:pt>
              </c:strCache>
            </c:strRef>
          </c:tx>
          <c:spPr>
            <a:ln w="3175">
              <a:noFill/>
            </a:ln>
          </c:spPr>
          <c:marker>
            <c:symbol val="circle"/>
            <c:size val="3"/>
            <c:spPr>
              <a:solidFill>
                <a:schemeClr val="tx1"/>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zuurstofberekening!$F$67:$Q$67</c:f>
              <c:numCache>
                <c:formatCode>0.00</c:formatCode>
                <c:ptCount val="12"/>
                <c:pt idx="0">
                  <c:v>3.259218056908181</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8-87DD-4F3C-A84B-B4BA0A98133C}"/>
            </c:ext>
          </c:extLst>
        </c:ser>
        <c:dLbls>
          <c:showLegendKey val="0"/>
          <c:showVal val="0"/>
          <c:showCatName val="0"/>
          <c:showSerName val="0"/>
          <c:showPercent val="0"/>
          <c:showBubbleSize val="0"/>
        </c:dLbls>
        <c:marker val="1"/>
        <c:smooth val="0"/>
        <c:axId val="478794240"/>
        <c:axId val="478015424"/>
      </c:lineChart>
      <c:catAx>
        <c:axId val="478794240"/>
        <c:scaling>
          <c:orientation val="minMax"/>
        </c:scaling>
        <c:delete val="0"/>
        <c:axPos val="b"/>
        <c:numFmt formatCode="General" sourceLinked="0"/>
        <c:majorTickMark val="out"/>
        <c:minorTickMark val="none"/>
        <c:tickLblPos val="nextTo"/>
        <c:crossAx val="478015424"/>
        <c:crosses val="autoZero"/>
        <c:auto val="1"/>
        <c:lblAlgn val="ctr"/>
        <c:lblOffset val="100"/>
        <c:noMultiLvlLbl val="0"/>
      </c:catAx>
      <c:valAx>
        <c:axId val="478015424"/>
        <c:scaling>
          <c:orientation val="minMax"/>
          <c:max val="10"/>
          <c:min val="0"/>
        </c:scaling>
        <c:delete val="0"/>
        <c:axPos val="l"/>
        <c:majorGridlines/>
        <c:numFmt formatCode="0.0" sourceLinked="0"/>
        <c:majorTickMark val="out"/>
        <c:minorTickMark val="none"/>
        <c:tickLblPos val="nextTo"/>
        <c:crossAx val="478794240"/>
        <c:crosses val="autoZero"/>
        <c:crossBetween val="between"/>
      </c:valAx>
    </c:plotArea>
    <c:plotVisOnly val="1"/>
    <c:dispBlanksAs val="gap"/>
    <c:showDLblsOverMax val="0"/>
  </c:chart>
  <c:spPr>
    <a:noFill/>
    <a:ln>
      <a:noFill/>
    </a:ln>
  </c:spPr>
  <c:txPr>
    <a:bodyPr/>
    <a:lstStyle/>
    <a:p>
      <a:pPr>
        <a:defRPr sz="100"/>
      </a:pPr>
      <a:endParaRPr lang="nl-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a:pPr>
            <a:r>
              <a:rPr lang="nl-NL"/>
              <a:t>directe- en indirecte zuurstofvraag per oppervlakte-eenheid</a:t>
            </a:r>
          </a:p>
        </c:rich>
      </c:tx>
      <c:layout/>
      <c:overlay val="1"/>
    </c:title>
    <c:autoTitleDeleted val="0"/>
    <c:plotArea>
      <c:layout>
        <c:manualLayout>
          <c:layoutTarget val="inner"/>
          <c:xMode val="edge"/>
          <c:yMode val="edge"/>
          <c:x val="0.16855291597398642"/>
          <c:y val="0.19615027142068189"/>
          <c:w val="0.74210272538196365"/>
          <c:h val="0.54184458303587069"/>
        </c:manualLayout>
      </c:layout>
      <c:barChart>
        <c:barDir val="col"/>
        <c:grouping val="stacked"/>
        <c:varyColors val="0"/>
        <c:ser>
          <c:idx val="0"/>
          <c:order val="0"/>
          <c:tx>
            <c:strRef>
              <c:f>'figuren belasting'!$A$150:$B$150</c:f>
              <c:strCache>
                <c:ptCount val="1"/>
                <c:pt idx="0">
                  <c:v>BZV totaal</c:v>
                </c:pt>
              </c:strCache>
            </c:strRef>
          </c:tx>
          <c:spPr>
            <a:solidFill>
              <a:srgbClr val="FF0000"/>
            </a:solidFill>
          </c:spPr>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belasting'!$Q$150:$AB$150</c:f>
              <c:numCache>
                <c:formatCode>0.00</c:formatCode>
                <c:ptCount val="12"/>
                <c:pt idx="0">
                  <c:v>0.78937500000000005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5BF-4828-B52B-F5187256F61C}"/>
            </c:ext>
          </c:extLst>
        </c:ser>
        <c:ser>
          <c:idx val="18"/>
          <c:order val="1"/>
          <c:tx>
            <c:strRef>
              <c:f>'figuren belasting'!$A$172:$B$172</c:f>
              <c:strCache>
                <c:ptCount val="1"/>
                <c:pt idx="0">
                  <c:v>NH4 totaal</c:v>
                </c:pt>
              </c:strCache>
            </c:strRef>
          </c:tx>
          <c:spPr>
            <a:solidFill>
              <a:srgbClr val="FFC000"/>
            </a:solidFill>
          </c:spPr>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belasting'!$Q$172:$AB$172</c:f>
              <c:numCache>
                <c:formatCode>0.00</c:formatCode>
                <c:ptCount val="12"/>
                <c:pt idx="0">
                  <c:v>0.33989375000000011</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5BF-4828-B52B-F5187256F61C}"/>
            </c:ext>
          </c:extLst>
        </c:ser>
        <c:ser>
          <c:idx val="1"/>
          <c:order val="2"/>
          <c:tx>
            <c:strRef>
              <c:f>'figuren belasting'!$A$194:$B$194</c:f>
              <c:strCache>
                <c:ptCount val="1"/>
                <c:pt idx="0">
                  <c:v>SZV totaal</c:v>
                </c:pt>
              </c:strCache>
            </c:strRef>
          </c:tx>
          <c:invertIfNegative val="0"/>
          <c:cat>
            <c:strRef>
              <c:f>'figuren belasting'!$Q$130:$AB$130</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belasting'!$Q$194:$AB$194</c:f>
              <c:numCache>
                <c:formatCode>0.00</c:formatCode>
                <c:ptCount val="12"/>
                <c:pt idx="0">
                  <c:v>0.43505136986301368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95BF-4828-B52B-F5187256F61C}"/>
            </c:ext>
          </c:extLst>
        </c:ser>
        <c:dLbls>
          <c:showLegendKey val="0"/>
          <c:showVal val="0"/>
          <c:showCatName val="0"/>
          <c:showSerName val="0"/>
          <c:showPercent val="0"/>
          <c:showBubbleSize val="0"/>
        </c:dLbls>
        <c:gapWidth val="150"/>
        <c:overlap val="100"/>
        <c:axId val="478795264"/>
        <c:axId val="478017728"/>
      </c:barChart>
      <c:catAx>
        <c:axId val="478795264"/>
        <c:scaling>
          <c:orientation val="minMax"/>
        </c:scaling>
        <c:delete val="0"/>
        <c:axPos val="b"/>
        <c:numFmt formatCode="General" sourceLinked="0"/>
        <c:majorTickMark val="out"/>
        <c:minorTickMark val="none"/>
        <c:tickLblPos val="nextTo"/>
        <c:crossAx val="478017728"/>
        <c:crosses val="autoZero"/>
        <c:auto val="1"/>
        <c:lblAlgn val="ctr"/>
        <c:lblOffset val="100"/>
        <c:noMultiLvlLbl val="0"/>
      </c:catAx>
      <c:valAx>
        <c:axId val="478017728"/>
        <c:scaling>
          <c:orientation val="minMax"/>
        </c:scaling>
        <c:delete val="0"/>
        <c:axPos val="l"/>
        <c:majorGridlines>
          <c:spPr>
            <a:ln>
              <a:solidFill>
                <a:schemeClr val="bg1">
                  <a:lumMod val="85000"/>
                </a:schemeClr>
              </a:solidFill>
            </a:ln>
          </c:spPr>
        </c:majorGridlines>
        <c:numFmt formatCode="0.0" sourceLinked="0"/>
        <c:majorTickMark val="out"/>
        <c:minorTickMark val="none"/>
        <c:tickLblPos val="nextTo"/>
        <c:crossAx val="478795264"/>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en-US" sz="1000"/>
              <a:t>BZV (mg/l)</a:t>
            </a:r>
          </a:p>
        </c:rich>
      </c:tx>
      <c:layout>
        <c:manualLayout>
          <c:xMode val="edge"/>
          <c:yMode val="edge"/>
          <c:x val="0.30901408065720504"/>
          <c:y val="9.2263186915772424E-3"/>
        </c:manualLayout>
      </c:layout>
      <c:overlay val="0"/>
    </c:title>
    <c:autoTitleDeleted val="0"/>
    <c:plotArea>
      <c:layout>
        <c:manualLayout>
          <c:layoutTarget val="inner"/>
          <c:xMode val="edge"/>
          <c:yMode val="edge"/>
          <c:x val="0.155128264064816"/>
          <c:y val="0.11579829087894852"/>
          <c:w val="0.75808677998615914"/>
          <c:h val="0.54167934982786015"/>
        </c:manualLayout>
      </c:layout>
      <c:barChart>
        <c:barDir val="col"/>
        <c:grouping val="stacked"/>
        <c:varyColors val="0"/>
        <c:ser>
          <c:idx val="0"/>
          <c:order val="0"/>
          <c:tx>
            <c:strRef>
              <c:f>'figuren toestand'!$A$56</c:f>
              <c:strCache>
                <c:ptCount val="1"/>
                <c:pt idx="0">
                  <c:v>BZV5-gehalte-stationair</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toestand'!$D$56:$O$56</c:f>
              <c:numCache>
                <c:formatCode>0.0</c:formatCode>
                <c:ptCount val="12"/>
                <c:pt idx="0">
                  <c:v>0.50932034467457821</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165C-4F74-9207-450CF11349BF}"/>
            </c:ext>
          </c:extLst>
        </c:ser>
        <c:ser>
          <c:idx val="1"/>
          <c:order val="1"/>
          <c:tx>
            <c:strRef>
              <c:f>'figuren toestand'!$C$57</c:f>
              <c:strCache>
                <c:ptCount val="1"/>
                <c:pt idx="0">
                  <c:v>+ overstort</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toestand'!$D$57:$O$57</c:f>
              <c:numCache>
                <c:formatCode>0.0</c:formatCode>
                <c:ptCount val="12"/>
                <c:pt idx="0">
                  <c:v>1.8453780557285848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165C-4F74-9207-450CF11349BF}"/>
            </c:ext>
          </c:extLst>
        </c:ser>
        <c:dLbls>
          <c:showLegendKey val="0"/>
          <c:showVal val="0"/>
          <c:showCatName val="0"/>
          <c:showSerName val="0"/>
          <c:showPercent val="0"/>
          <c:showBubbleSize val="0"/>
        </c:dLbls>
        <c:gapWidth val="150"/>
        <c:overlap val="100"/>
        <c:axId val="478796288"/>
        <c:axId val="480002624"/>
      </c:barChart>
      <c:lineChart>
        <c:grouping val="standard"/>
        <c:varyColors val="0"/>
        <c:ser>
          <c:idx val="2"/>
          <c:order val="2"/>
          <c:tx>
            <c:strRef>
              <c:f>'figuren toestand'!$A$66</c:f>
              <c:strCache>
                <c:ptCount val="1"/>
                <c:pt idx="0">
                  <c:v>BZV-gehalte-gemeten</c:v>
                </c:pt>
              </c:strCache>
            </c:strRef>
          </c:tx>
          <c:spPr>
            <a:ln>
              <a:noFill/>
            </a:ln>
          </c:spPr>
          <c:marker>
            <c:symbol val="dash"/>
            <c:size val="4"/>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toestand'!$D$66:$O$66</c:f>
              <c:numCache>
                <c:formatCode>General</c:formatCode>
                <c:ptCount val="12"/>
                <c:pt idx="0">
                  <c:v>2</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165C-4F74-9207-450CF11349BF}"/>
            </c:ext>
          </c:extLst>
        </c:ser>
        <c:dLbls>
          <c:showLegendKey val="0"/>
          <c:showVal val="0"/>
          <c:showCatName val="0"/>
          <c:showSerName val="0"/>
          <c:showPercent val="0"/>
          <c:showBubbleSize val="0"/>
        </c:dLbls>
        <c:marker val="1"/>
        <c:smooth val="0"/>
        <c:axId val="478796288"/>
        <c:axId val="480002624"/>
      </c:lineChart>
      <c:catAx>
        <c:axId val="478796288"/>
        <c:scaling>
          <c:orientation val="minMax"/>
        </c:scaling>
        <c:delete val="0"/>
        <c:axPos val="b"/>
        <c:numFmt formatCode="General" sourceLinked="0"/>
        <c:majorTickMark val="out"/>
        <c:minorTickMark val="none"/>
        <c:tickLblPos val="nextTo"/>
        <c:crossAx val="480002624"/>
        <c:crosses val="autoZero"/>
        <c:auto val="1"/>
        <c:lblAlgn val="ctr"/>
        <c:lblOffset val="100"/>
        <c:noMultiLvlLbl val="0"/>
      </c:catAx>
      <c:valAx>
        <c:axId val="480002624"/>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478796288"/>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nl-NL" sz="1000"/>
              <a:t>NH</a:t>
            </a:r>
            <a:r>
              <a:rPr lang="nl-NL" sz="1000" baseline="-25000"/>
              <a:t>4</a:t>
            </a:r>
            <a:r>
              <a:rPr lang="nl-NL" sz="1000"/>
              <a:t> (mgN/l)</a:t>
            </a:r>
          </a:p>
        </c:rich>
      </c:tx>
      <c:layout>
        <c:manualLayout>
          <c:xMode val="edge"/>
          <c:yMode val="edge"/>
          <c:x val="0.28012529445199619"/>
          <c:y val="0"/>
        </c:manualLayout>
      </c:layout>
      <c:overlay val="0"/>
    </c:title>
    <c:autoTitleDeleted val="0"/>
    <c:plotArea>
      <c:layout>
        <c:manualLayout>
          <c:layoutTarget val="inner"/>
          <c:xMode val="edge"/>
          <c:yMode val="edge"/>
          <c:x val="0.14795210104496792"/>
          <c:y val="0.11423932709388529"/>
          <c:w val="0.769277575641233"/>
          <c:h val="0.54368911234649298"/>
        </c:manualLayout>
      </c:layout>
      <c:barChart>
        <c:barDir val="col"/>
        <c:grouping val="stacked"/>
        <c:varyColors val="0"/>
        <c:ser>
          <c:idx val="0"/>
          <c:order val="0"/>
          <c:tx>
            <c:strRef>
              <c:f>'figuren toestand'!$A$58</c:f>
              <c:strCache>
                <c:ptCount val="1"/>
                <c:pt idx="0">
                  <c:v>NH4-N-gehalte-stationair</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toestand'!$D$58:$O$58</c:f>
              <c:numCache>
                <c:formatCode>0.0</c:formatCode>
                <c:ptCount val="12"/>
                <c:pt idx="0">
                  <c:v>0.1647964541763485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9F4F-4E20-87A2-F4C62DF6C7CE}"/>
            </c:ext>
          </c:extLst>
        </c:ser>
        <c:ser>
          <c:idx val="1"/>
          <c:order val="1"/>
          <c:tx>
            <c:strRef>
              <c:f>'figuren toestand'!$C$59</c:f>
              <c:strCache>
                <c:ptCount val="1"/>
                <c:pt idx="0">
                  <c:v>+ overstort</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toestand'!$D$59:$O$59</c:f>
              <c:numCache>
                <c:formatCode>0.0</c:formatCode>
                <c:ptCount val="12"/>
                <c:pt idx="0">
                  <c:v>0.29885994188620535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9F4F-4E20-87A2-F4C62DF6C7CE}"/>
            </c:ext>
          </c:extLst>
        </c:ser>
        <c:dLbls>
          <c:showLegendKey val="0"/>
          <c:showVal val="0"/>
          <c:showCatName val="0"/>
          <c:showSerName val="0"/>
          <c:showPercent val="0"/>
          <c:showBubbleSize val="0"/>
        </c:dLbls>
        <c:gapWidth val="150"/>
        <c:overlap val="100"/>
        <c:axId val="480108544"/>
        <c:axId val="480004928"/>
      </c:barChart>
      <c:lineChart>
        <c:grouping val="standard"/>
        <c:varyColors val="0"/>
        <c:ser>
          <c:idx val="2"/>
          <c:order val="2"/>
          <c:tx>
            <c:strRef>
              <c:f>'figuren toestand'!$A$65</c:f>
              <c:strCache>
                <c:ptCount val="1"/>
                <c:pt idx="0">
                  <c:v>NH4-N-gehalte-gemeten</c:v>
                </c:pt>
              </c:strCache>
            </c:strRef>
          </c:tx>
          <c:spPr>
            <a:ln>
              <a:noFill/>
            </a:ln>
          </c:spPr>
          <c:marker>
            <c:symbol val="dash"/>
            <c:size val="6"/>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toestand'!$D$65:$O$65</c:f>
              <c:numCache>
                <c:formatCode>General</c:formatCode>
                <c:ptCount val="12"/>
                <c:pt idx="0">
                  <c:v>0.7</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9F4F-4E20-87A2-F4C62DF6C7CE}"/>
            </c:ext>
          </c:extLst>
        </c:ser>
        <c:dLbls>
          <c:showLegendKey val="0"/>
          <c:showVal val="0"/>
          <c:showCatName val="0"/>
          <c:showSerName val="0"/>
          <c:showPercent val="0"/>
          <c:showBubbleSize val="0"/>
        </c:dLbls>
        <c:marker val="1"/>
        <c:smooth val="0"/>
        <c:axId val="480108544"/>
        <c:axId val="480004928"/>
      </c:lineChart>
      <c:catAx>
        <c:axId val="480108544"/>
        <c:scaling>
          <c:orientation val="minMax"/>
        </c:scaling>
        <c:delete val="0"/>
        <c:axPos val="b"/>
        <c:numFmt formatCode="General" sourceLinked="0"/>
        <c:majorTickMark val="out"/>
        <c:minorTickMark val="none"/>
        <c:tickLblPos val="nextTo"/>
        <c:crossAx val="480004928"/>
        <c:crosses val="autoZero"/>
        <c:auto val="1"/>
        <c:lblAlgn val="ctr"/>
        <c:lblOffset val="100"/>
        <c:noMultiLvlLbl val="0"/>
      </c:catAx>
      <c:valAx>
        <c:axId val="480004928"/>
        <c:scaling>
          <c:orientation val="minMax"/>
        </c:scaling>
        <c:delete val="0"/>
        <c:axPos val="l"/>
        <c:majorGridlines>
          <c:spPr>
            <a:ln>
              <a:solidFill>
                <a:schemeClr val="bg1">
                  <a:lumMod val="85000"/>
                </a:schemeClr>
              </a:solidFill>
            </a:ln>
          </c:spPr>
        </c:majorGridlines>
        <c:numFmt formatCode="0.0" sourceLinked="1"/>
        <c:majorTickMark val="out"/>
        <c:minorTickMark val="none"/>
        <c:tickLblPos val="nextTo"/>
        <c:crossAx val="480108544"/>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nl-NL" sz="1000"/>
              <a:t>O</a:t>
            </a:r>
            <a:r>
              <a:rPr lang="nl-NL" sz="1000" baseline="-25000"/>
              <a:t>2</a:t>
            </a:r>
            <a:r>
              <a:rPr lang="nl-NL" sz="1000"/>
              <a:t> (mg/l)</a:t>
            </a:r>
          </a:p>
        </c:rich>
      </c:tx>
      <c:layout>
        <c:manualLayout>
          <c:xMode val="edge"/>
          <c:yMode val="edge"/>
          <c:x val="0.32712638281239836"/>
          <c:y val="9.032832568269011E-3"/>
        </c:manualLayout>
      </c:layout>
      <c:overlay val="0"/>
    </c:title>
    <c:autoTitleDeleted val="0"/>
    <c:plotArea>
      <c:layout>
        <c:manualLayout>
          <c:layoutTarget val="inner"/>
          <c:xMode val="edge"/>
          <c:yMode val="edge"/>
          <c:x val="0.11884799857282054"/>
          <c:y val="0.11457472428523265"/>
          <c:w val="0.794616857442487"/>
          <c:h val="0.54335404009439658"/>
        </c:manualLayout>
      </c:layout>
      <c:barChart>
        <c:barDir val="col"/>
        <c:grouping val="clustered"/>
        <c:varyColors val="0"/>
        <c:ser>
          <c:idx val="0"/>
          <c:order val="0"/>
          <c:tx>
            <c:strRef>
              <c:f>'figuren toestand'!$A$60</c:f>
              <c:strCache>
                <c:ptCount val="1"/>
                <c:pt idx="0">
                  <c:v>zuurstofgehalte-stationair</c:v>
                </c:pt>
              </c:strCache>
            </c:strRef>
          </c:tx>
          <c:spPr>
            <a:ln>
              <a:noFill/>
            </a:ln>
          </c:spPr>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toestand'!$D$60:$O$60</c:f>
              <c:numCache>
                <c:formatCode>0</c:formatCode>
                <c:ptCount val="12"/>
                <c:pt idx="0">
                  <c:v>5.4482953967183807</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6E15-4709-99A9-42D5D4297ED1}"/>
            </c:ext>
          </c:extLst>
        </c:ser>
        <c:dLbls>
          <c:showLegendKey val="0"/>
          <c:showVal val="0"/>
          <c:showCatName val="0"/>
          <c:showSerName val="0"/>
          <c:showPercent val="0"/>
          <c:showBubbleSize val="0"/>
        </c:dLbls>
        <c:gapWidth val="150"/>
        <c:axId val="480110080"/>
        <c:axId val="480007232"/>
      </c:barChart>
      <c:lineChart>
        <c:grouping val="standard"/>
        <c:varyColors val="0"/>
        <c:ser>
          <c:idx val="1"/>
          <c:order val="1"/>
          <c:tx>
            <c:strRef>
              <c:f>'figuren toestand'!$C$61</c:f>
              <c:strCache>
                <c:ptCount val="1"/>
                <c:pt idx="0">
                  <c:v>na overstort</c:v>
                </c:pt>
              </c:strCache>
            </c:strRef>
          </c:tx>
          <c:spPr>
            <a:ln>
              <a:noFill/>
            </a:ln>
          </c:spPr>
          <c:marker>
            <c:symbol val="diamond"/>
            <c:size val="6"/>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toestand'!$D$61:$O$61</c:f>
              <c:numCache>
                <c:formatCode>0</c:formatCode>
                <c:ptCount val="12"/>
                <c:pt idx="0">
                  <c:v>3.259218056908181</c:v>
                </c:pt>
                <c:pt idx="1">
                  <c:v>#N/A</c:v>
                </c:pt>
                <c:pt idx="2">
                  <c:v>#N/A</c:v>
                </c:pt>
                <c:pt idx="3">
                  <c:v>#N/A</c:v>
                </c:pt>
                <c:pt idx="4">
                  <c:v>#N/A</c:v>
                </c:pt>
                <c:pt idx="5">
                  <c:v>#N/A</c:v>
                </c:pt>
                <c:pt idx="6">
                  <c:v>#N/A</c:v>
                </c:pt>
                <c:pt idx="7">
                  <c:v>#N/A</c:v>
                </c:pt>
                <c:pt idx="8">
                  <c:v>#N/A</c:v>
                </c:pt>
                <c:pt idx="9">
                  <c:v>#N/A</c:v>
                </c:pt>
                <c:pt idx="10">
                  <c:v>#N/A</c:v>
                </c:pt>
                <c:pt idx="11">
                  <c:v>#N/A</c:v>
                </c:pt>
              </c:numCache>
            </c:numRef>
          </c:val>
          <c:smooth val="0"/>
          <c:extLst xmlns:c16r2="http://schemas.microsoft.com/office/drawing/2015/06/chart">
            <c:ext xmlns:c16="http://schemas.microsoft.com/office/drawing/2014/chart" uri="{C3380CC4-5D6E-409C-BE32-E72D297353CC}">
              <c16:uniqueId val="{00000001-6E15-4709-99A9-42D5D4297ED1}"/>
            </c:ext>
          </c:extLst>
        </c:ser>
        <c:ser>
          <c:idx val="2"/>
          <c:order val="2"/>
          <c:tx>
            <c:strRef>
              <c:f>'figuren toestand'!$A$64</c:f>
              <c:strCache>
                <c:ptCount val="1"/>
                <c:pt idx="0">
                  <c:v>zuurstofgehalte-gemeten</c:v>
                </c:pt>
              </c:strCache>
            </c:strRef>
          </c:tx>
          <c:spPr>
            <a:ln>
              <a:noFill/>
            </a:ln>
          </c:spPr>
          <c:marker>
            <c:symbol val="dash"/>
            <c:size val="6"/>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toestand'!$D$64:$O$64</c:f>
              <c:numCache>
                <c:formatCode>General</c:formatCode>
                <c:ptCount val="12"/>
                <c:pt idx="0">
                  <c:v>3.5</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6E15-4709-99A9-42D5D4297ED1}"/>
            </c:ext>
          </c:extLst>
        </c:ser>
        <c:dLbls>
          <c:showLegendKey val="0"/>
          <c:showVal val="0"/>
          <c:showCatName val="0"/>
          <c:showSerName val="0"/>
          <c:showPercent val="0"/>
          <c:showBubbleSize val="0"/>
        </c:dLbls>
        <c:marker val="1"/>
        <c:smooth val="0"/>
        <c:axId val="480110080"/>
        <c:axId val="480007232"/>
      </c:lineChart>
      <c:catAx>
        <c:axId val="480110080"/>
        <c:scaling>
          <c:orientation val="minMax"/>
        </c:scaling>
        <c:delete val="0"/>
        <c:axPos val="b"/>
        <c:numFmt formatCode="General" sourceLinked="0"/>
        <c:majorTickMark val="out"/>
        <c:minorTickMark val="none"/>
        <c:tickLblPos val="nextTo"/>
        <c:crossAx val="480007232"/>
        <c:crossesAt val="-0.1"/>
        <c:auto val="1"/>
        <c:lblAlgn val="ctr"/>
        <c:lblOffset val="100"/>
        <c:noMultiLvlLbl val="0"/>
      </c:catAx>
      <c:valAx>
        <c:axId val="480007232"/>
        <c:scaling>
          <c:orientation val="minMax"/>
          <c:min val="-0.1"/>
        </c:scaling>
        <c:delete val="0"/>
        <c:axPos val="l"/>
        <c:majorGridlines>
          <c:spPr>
            <a:ln>
              <a:solidFill>
                <a:schemeClr val="bg1">
                  <a:lumMod val="85000"/>
                </a:schemeClr>
              </a:solidFill>
            </a:ln>
          </c:spPr>
        </c:majorGridlines>
        <c:numFmt formatCode="0" sourceLinked="0"/>
        <c:majorTickMark val="out"/>
        <c:minorTickMark val="none"/>
        <c:tickLblPos val="nextTo"/>
        <c:crossAx val="480110080"/>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nl-NL" sz="1000"/>
              <a:t>SZV (gO</a:t>
            </a:r>
            <a:r>
              <a:rPr lang="nl-NL" sz="1000" baseline="-25000"/>
              <a:t>2</a:t>
            </a:r>
            <a:r>
              <a:rPr lang="nl-NL" sz="1000"/>
              <a:t>/m</a:t>
            </a:r>
            <a:r>
              <a:rPr lang="nl-NL" sz="1000" baseline="30000"/>
              <a:t>2</a:t>
            </a:r>
            <a:r>
              <a:rPr lang="nl-NL" sz="1000"/>
              <a:t>/d)</a:t>
            </a:r>
          </a:p>
        </c:rich>
      </c:tx>
      <c:layout>
        <c:manualLayout>
          <c:xMode val="edge"/>
          <c:yMode val="edge"/>
          <c:x val="0.23730654954600697"/>
          <c:y val="9.5346705395947841E-3"/>
        </c:manualLayout>
      </c:layout>
      <c:overlay val="0"/>
    </c:title>
    <c:autoTitleDeleted val="0"/>
    <c:plotArea>
      <c:layout>
        <c:manualLayout>
          <c:layoutTarget val="inner"/>
          <c:xMode val="edge"/>
          <c:yMode val="edge"/>
          <c:x val="0.17082680857896329"/>
          <c:y val="0.13294623406294279"/>
          <c:w val="0.74640286810723766"/>
          <c:h val="0.52498191665097793"/>
        </c:manualLayout>
      </c:layout>
      <c:barChart>
        <c:barDir val="col"/>
        <c:grouping val="clustered"/>
        <c:varyColors val="0"/>
        <c:ser>
          <c:idx val="0"/>
          <c:order val="0"/>
          <c:tx>
            <c:strRef>
              <c:f>'figuren toestand'!$A$68</c:f>
              <c:strCache>
                <c:ptCount val="1"/>
                <c:pt idx="0">
                  <c:v>bronnen --&gt; sediment (SZV)</c:v>
                </c:pt>
              </c:strCache>
            </c:strRef>
          </c:tx>
          <c:invertIfNegative val="0"/>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toestand'!$D$68:$O$68</c:f>
              <c:numCache>
                <c:formatCode>0.0</c:formatCode>
                <c:ptCount val="12"/>
                <c:pt idx="0">
                  <c:v>0.43505136986301368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7E14-446D-9B86-CEFAAF893AE9}"/>
            </c:ext>
          </c:extLst>
        </c:ser>
        <c:dLbls>
          <c:showLegendKey val="0"/>
          <c:showVal val="0"/>
          <c:showCatName val="0"/>
          <c:showSerName val="0"/>
          <c:showPercent val="0"/>
          <c:showBubbleSize val="0"/>
        </c:dLbls>
        <c:gapWidth val="150"/>
        <c:axId val="480112128"/>
        <c:axId val="480009536"/>
      </c:barChart>
      <c:lineChart>
        <c:grouping val="standard"/>
        <c:varyColors val="0"/>
        <c:ser>
          <c:idx val="2"/>
          <c:order val="1"/>
          <c:tx>
            <c:strRef>
              <c:f>'figuren toestand'!$A$69</c:f>
              <c:strCache>
                <c:ptCount val="1"/>
                <c:pt idx="0">
                  <c:v>zuurstofvraag sediment-gemeten</c:v>
                </c:pt>
              </c:strCache>
            </c:strRef>
          </c:tx>
          <c:spPr>
            <a:ln>
              <a:noFill/>
            </a:ln>
          </c:spPr>
          <c:marker>
            <c:symbol val="dash"/>
            <c:size val="6"/>
          </c:marker>
          <c:cat>
            <c:strRef>
              <c:f>'figuren toestand'!$D$55:$O$55</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toestand'!$D$69:$O$69</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7E14-446D-9B86-CEFAAF893AE9}"/>
            </c:ext>
          </c:extLst>
        </c:ser>
        <c:dLbls>
          <c:showLegendKey val="0"/>
          <c:showVal val="0"/>
          <c:showCatName val="0"/>
          <c:showSerName val="0"/>
          <c:showPercent val="0"/>
          <c:showBubbleSize val="0"/>
        </c:dLbls>
        <c:marker val="1"/>
        <c:smooth val="0"/>
        <c:axId val="480112128"/>
        <c:axId val="480009536"/>
      </c:lineChart>
      <c:catAx>
        <c:axId val="480112128"/>
        <c:scaling>
          <c:orientation val="minMax"/>
        </c:scaling>
        <c:delete val="0"/>
        <c:axPos val="b"/>
        <c:numFmt formatCode="General" sourceLinked="0"/>
        <c:majorTickMark val="out"/>
        <c:minorTickMark val="none"/>
        <c:tickLblPos val="nextTo"/>
        <c:crossAx val="480009536"/>
        <c:crosses val="autoZero"/>
        <c:auto val="1"/>
        <c:lblAlgn val="ctr"/>
        <c:lblOffset val="100"/>
        <c:noMultiLvlLbl val="0"/>
      </c:catAx>
      <c:valAx>
        <c:axId val="480009536"/>
        <c:scaling>
          <c:orientation val="minMax"/>
        </c:scaling>
        <c:delete val="0"/>
        <c:axPos val="l"/>
        <c:majorGridlines>
          <c:spPr>
            <a:ln>
              <a:solidFill>
                <a:schemeClr val="bg1">
                  <a:lumMod val="85000"/>
                </a:schemeClr>
              </a:solidFill>
            </a:ln>
          </c:spPr>
        </c:majorGridlines>
        <c:numFmt formatCode="0.00" sourceLinked="0"/>
        <c:majorTickMark val="out"/>
        <c:minorTickMark val="none"/>
        <c:tickLblPos val="nextTo"/>
        <c:crossAx val="480112128"/>
        <c:crosses val="autoZero"/>
        <c:crossBetween val="between"/>
      </c:valAx>
    </c:plotArea>
    <c:plotVisOnly val="1"/>
    <c:dispBlanksAs val="gap"/>
    <c:showDLblsOverMax val="0"/>
  </c:chart>
  <c:spPr>
    <a:noFill/>
    <a:ln>
      <a:noFill/>
    </a:ln>
  </c:spPr>
  <c:txPr>
    <a:bodyPr/>
    <a:lstStyle/>
    <a:p>
      <a:pPr>
        <a:defRPr sz="600"/>
      </a:pPr>
      <a:endParaRPr lang="nl-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0"/>
    <c:plotArea>
      <c:layout/>
      <c:barChart>
        <c:barDir val="col"/>
        <c:grouping val="stacked"/>
        <c:varyColors val="0"/>
        <c:ser>
          <c:idx val="4"/>
          <c:order val="0"/>
          <c:tx>
            <c:strRef>
              <c:f>zuurstofberekening!$E$69</c:f>
              <c:strCache>
                <c:ptCount val="1"/>
                <c:pt idx="0">
                  <c:v>minimaal toelaatbaar O2-gehalte</c:v>
                </c:pt>
              </c:strCache>
            </c:strRef>
          </c:tx>
          <c:spPr>
            <a:solidFill>
              <a:schemeClr val="accent2">
                <a:lumMod val="20000"/>
                <a:lumOff val="80000"/>
              </a:schemeClr>
            </a:solidFill>
            <a:ln w="28575">
              <a:solidFill>
                <a:schemeClr val="bg1">
                  <a:lumMod val="85000"/>
                  <a:alpha val="56000"/>
                </a:schemeClr>
              </a:solidFill>
            </a:ln>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zuurstofberekening!$F$69:$Q$69</c:f>
              <c:numCache>
                <c:formatCode>0.00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xmlns:c16r2="http://schemas.microsoft.com/office/drawing/2015/06/chart">
            <c:ext xmlns:c16="http://schemas.microsoft.com/office/drawing/2014/chart" uri="{C3380CC4-5D6E-409C-BE32-E72D297353CC}">
              <c16:uniqueId val="{00000000-87DD-4F3C-A84B-B4BA0A98133C}"/>
            </c:ext>
          </c:extLst>
        </c:ser>
        <c:ser>
          <c:idx val="6"/>
          <c:order val="1"/>
          <c:tx>
            <c:strRef>
              <c:f>zuurstofberekening!$E$59</c:f>
              <c:strCache>
                <c:ptCount val="1"/>
                <c:pt idx="0">
                  <c:v>water</c:v>
                </c:pt>
              </c:strCache>
            </c:strRef>
          </c:tx>
          <c:spPr>
            <a:solidFill>
              <a:schemeClr val="accent1">
                <a:lumMod val="20000"/>
                <a:lumOff val="80000"/>
              </a:schemeClr>
            </a:solidFill>
            <a:ln w="28575">
              <a:solidFill>
                <a:schemeClr val="bg1">
                  <a:lumMod val="85000"/>
                </a:schemeClr>
              </a:solidFill>
            </a:ln>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zuurstofberekening!$F$59:$Q$59</c:f>
              <c:numCache>
                <c:formatCode>General</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extLst xmlns:c16r2="http://schemas.microsoft.com/office/drawing/2015/06/chart">
            <c:ext xmlns:c16="http://schemas.microsoft.com/office/drawing/2014/chart" uri="{C3380CC4-5D6E-409C-BE32-E72D297353CC}">
              <c16:uniqueId val="{00000001-87DD-4F3C-A84B-B4BA0A98133C}"/>
            </c:ext>
          </c:extLst>
        </c:ser>
        <c:ser>
          <c:idx val="0"/>
          <c:order val="2"/>
          <c:tx>
            <c:strRef>
              <c:f>zuurstofberekening!$E$65</c:f>
              <c:strCache>
                <c:ptCount val="1"/>
              </c:strCache>
            </c:strRef>
          </c:tx>
          <c:spPr>
            <a:noFill/>
          </c:spPr>
          <c:invertIfNegative val="0"/>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zuurstofberekening!$F$65:$Q$65</c:f>
              <c:numCache>
                <c:formatCode>0.00</c:formatCode>
                <c:ptCount val="12"/>
              </c:numCache>
            </c:numRef>
          </c:val>
          <c:extLst xmlns:c16r2="http://schemas.microsoft.com/office/drawing/2015/06/chart">
            <c:ext xmlns:c16="http://schemas.microsoft.com/office/drawing/2014/chart" uri="{C3380CC4-5D6E-409C-BE32-E72D297353CC}">
              <c16:uniqueId val="{00000002-87DD-4F3C-A84B-B4BA0A98133C}"/>
            </c:ext>
          </c:extLst>
        </c:ser>
        <c:dLbls>
          <c:showLegendKey val="0"/>
          <c:showVal val="0"/>
          <c:showCatName val="0"/>
          <c:showSerName val="0"/>
          <c:showPercent val="0"/>
          <c:showBubbleSize val="0"/>
        </c:dLbls>
        <c:gapWidth val="0"/>
        <c:overlap val="100"/>
        <c:axId val="480346624"/>
        <c:axId val="480299264"/>
      </c:barChart>
      <c:lineChart>
        <c:grouping val="standard"/>
        <c:varyColors val="0"/>
        <c:ser>
          <c:idx val="1"/>
          <c:order val="3"/>
          <c:tx>
            <c:strRef>
              <c:f>zuurstofberekening!$E$69</c:f>
              <c:strCache>
                <c:ptCount val="1"/>
                <c:pt idx="0">
                  <c:v>minimaal toelaatbaar O2-gehalte</c:v>
                </c:pt>
              </c:strCache>
            </c:strRef>
          </c:tx>
          <c:spPr>
            <a:ln>
              <a:noFill/>
            </a:ln>
          </c:spPr>
          <c:marker>
            <c:symbol val="dash"/>
            <c:size val="45"/>
            <c:spPr>
              <a:solidFill>
                <a:schemeClr val="tx1"/>
              </a:solidFill>
              <a:ln>
                <a:no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zuurstofberekening!$F$69:$Q$69</c:f>
              <c:numCache>
                <c:formatCode>0.00</c:formatCode>
                <c:ptCount val="12"/>
                <c:pt idx="0">
                  <c:v>5</c:v>
                </c:pt>
                <c:pt idx="1">
                  <c:v>5</c:v>
                </c:pt>
                <c:pt idx="2">
                  <c:v>5</c:v>
                </c:pt>
                <c:pt idx="3">
                  <c:v>5</c:v>
                </c:pt>
                <c:pt idx="4">
                  <c:v>5</c:v>
                </c:pt>
                <c:pt idx="5">
                  <c:v>5</c:v>
                </c:pt>
                <c:pt idx="6">
                  <c:v>5</c:v>
                </c:pt>
                <c:pt idx="7">
                  <c:v>5</c:v>
                </c:pt>
                <c:pt idx="8">
                  <c:v>5</c:v>
                </c:pt>
                <c:pt idx="9">
                  <c:v>5</c:v>
                </c:pt>
                <c:pt idx="10">
                  <c:v>5</c:v>
                </c:pt>
                <c:pt idx="11">
                  <c:v>5</c:v>
                </c:pt>
              </c:numCache>
            </c:numRef>
          </c:val>
          <c:smooth val="0"/>
          <c:extLst xmlns:c16r2="http://schemas.microsoft.com/office/drawing/2015/06/chart">
            <c:ext xmlns:c16="http://schemas.microsoft.com/office/drawing/2014/chart" uri="{C3380CC4-5D6E-409C-BE32-E72D297353CC}">
              <c16:uniqueId val="{00000003-87DD-4F3C-A84B-B4BA0A98133C}"/>
            </c:ext>
          </c:extLst>
        </c:ser>
        <c:ser>
          <c:idx val="2"/>
          <c:order val="4"/>
          <c:tx>
            <c:strRef>
              <c:f>zuurstofberekening!$E$73</c:f>
              <c:strCache>
                <c:ptCount val="1"/>
                <c:pt idx="0">
                  <c:v>zuurstof voldoet aan norm</c:v>
                </c:pt>
              </c:strCache>
            </c:strRef>
          </c:tx>
          <c:spPr>
            <a:ln w="28575">
              <a:noFill/>
            </a:ln>
          </c:spPr>
          <c:marker>
            <c:symbol val="circle"/>
            <c:size val="30"/>
            <c:spPr>
              <a:noFill/>
              <a:ln w="28575">
                <a:solidFill>
                  <a:srgbClr val="92D050"/>
                </a:solidFill>
                <a:prstDash val="sysDash"/>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zuurstofberekening!$F$73:$Q$73</c:f>
              <c:numCache>
                <c:formatCode>0.0</c:formatCode>
                <c:ptCount val="12"/>
                <c:pt idx="0">
                  <c:v>#N/A</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87DD-4F3C-A84B-B4BA0A98133C}"/>
            </c:ext>
          </c:extLst>
        </c:ser>
        <c:ser>
          <c:idx val="3"/>
          <c:order val="5"/>
          <c:tx>
            <c:strRef>
              <c:f>zuurstofberekening!$E$74</c:f>
              <c:strCache>
                <c:ptCount val="1"/>
                <c:pt idx="0">
                  <c:v>zuurstof voldoet niet aan norm</c:v>
                </c:pt>
              </c:strCache>
            </c:strRef>
          </c:tx>
          <c:spPr>
            <a:ln w="28575">
              <a:noFill/>
            </a:ln>
          </c:spPr>
          <c:marker>
            <c:symbol val="circle"/>
            <c:size val="30"/>
            <c:spPr>
              <a:noFill/>
              <a:ln w="28575">
                <a:solidFill>
                  <a:srgbClr val="FF0000"/>
                </a:solidFill>
                <a:prstDash val="sysDash"/>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zuurstofberekening!$F$74:$Q$74</c:f>
              <c:numCache>
                <c:formatCode>0.0</c:formatCode>
                <c:ptCount val="12"/>
                <c:pt idx="0">
                  <c:v>3.259218056908181</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5-87DD-4F3C-A84B-B4BA0A98133C}"/>
            </c:ext>
          </c:extLst>
        </c:ser>
        <c:ser>
          <c:idx val="8"/>
          <c:order val="6"/>
          <c:tx>
            <c:strRef>
              <c:f>zuurstofberekening!$E$68</c:f>
              <c:strCache>
                <c:ptCount val="1"/>
                <c:pt idx="0">
                  <c:v>O2 stationair</c:v>
                </c:pt>
              </c:strCache>
            </c:strRef>
          </c:tx>
          <c:spPr>
            <a:ln w="3175">
              <a:noFill/>
            </a:ln>
          </c:spPr>
          <c:marker>
            <c:symbol val="circle"/>
            <c:size val="18"/>
            <c:spPr>
              <a:solidFill>
                <a:schemeClr val="bg1"/>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zuurstofberekening!$F$68:$Q$68</c:f>
              <c:numCache>
                <c:formatCode>0.00</c:formatCode>
                <c:ptCount val="12"/>
                <c:pt idx="0">
                  <c:v>5.9652944640869032</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7-87DD-4F3C-A84B-B4BA0A98133C}"/>
            </c:ext>
          </c:extLst>
        </c:ser>
        <c:ser>
          <c:idx val="5"/>
          <c:order val="7"/>
          <c:tx>
            <c:strRef>
              <c:f>zuurstofberekening!$E$66</c:f>
              <c:strCache>
                <c:ptCount val="1"/>
                <c:pt idx="0">
                  <c:v>O2 stationair + drijflagen</c:v>
                </c:pt>
              </c:strCache>
            </c:strRef>
          </c:tx>
          <c:spPr>
            <a:ln w="3175">
              <a:noFill/>
            </a:ln>
          </c:spPr>
          <c:marker>
            <c:symbol val="circle"/>
            <c:size val="18"/>
            <c:spPr>
              <a:solidFill>
                <a:schemeClr val="bg1">
                  <a:lumMod val="50000"/>
                </a:schemeClr>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zuurstofberekening!$F$66:$Q$66</c:f>
              <c:numCache>
                <c:formatCode>0.00</c:formatCode>
                <c:ptCount val="12"/>
                <c:pt idx="0">
                  <c:v>5.4482953967183807</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6-87DD-4F3C-A84B-B4BA0A98133C}"/>
            </c:ext>
          </c:extLst>
        </c:ser>
        <c:ser>
          <c:idx val="7"/>
          <c:order val="8"/>
          <c:tx>
            <c:strRef>
              <c:f>zuurstofberekening!$E$67</c:f>
              <c:strCache>
                <c:ptCount val="1"/>
                <c:pt idx="0">
                  <c:v>O2 stationair + overstort + drijflagen</c:v>
                </c:pt>
              </c:strCache>
            </c:strRef>
          </c:tx>
          <c:spPr>
            <a:ln w="3175">
              <a:noFill/>
            </a:ln>
          </c:spPr>
          <c:marker>
            <c:symbol val="circle"/>
            <c:size val="18"/>
            <c:spPr>
              <a:solidFill>
                <a:schemeClr val="tx1"/>
              </a:solidFill>
              <a:ln>
                <a:solidFill>
                  <a:schemeClr val="tx1"/>
                </a:solidFill>
              </a:ln>
            </c:spPr>
          </c:marker>
          <c:cat>
            <c:strRef>
              <c:f>zuurstofberekening!$F$60:$Q$60</c:f>
              <c:strCache>
                <c:ptCount val="12"/>
                <c:pt idx="0">
                  <c:v>Voorbeeld (200m)</c:v>
                </c:pt>
                <c:pt idx="1">
                  <c:v>water_2 (0m)</c:v>
                </c:pt>
                <c:pt idx="2">
                  <c:v>water_3 (0m)</c:v>
                </c:pt>
                <c:pt idx="3">
                  <c:v>water_4 (0m)</c:v>
                </c:pt>
                <c:pt idx="4">
                  <c:v>water_5 (0m)</c:v>
                </c:pt>
                <c:pt idx="5">
                  <c:v>water_6 (0m)</c:v>
                </c:pt>
                <c:pt idx="6">
                  <c:v>water_7 (0m)</c:v>
                </c:pt>
                <c:pt idx="7">
                  <c:v>water_8 (0m)</c:v>
                </c:pt>
                <c:pt idx="8">
                  <c:v>water_9 (0m)</c:v>
                </c:pt>
                <c:pt idx="9">
                  <c:v>water_10 (0m)</c:v>
                </c:pt>
                <c:pt idx="10">
                  <c:v>water_11 (0m)</c:v>
                </c:pt>
                <c:pt idx="11">
                  <c:v>water_12 (0m)</c:v>
                </c:pt>
              </c:strCache>
            </c:strRef>
          </c:cat>
          <c:val>
            <c:numRef>
              <c:f>zuurstofberekening!$F$67:$Q$67</c:f>
              <c:numCache>
                <c:formatCode>0.00</c:formatCode>
                <c:ptCount val="12"/>
                <c:pt idx="0">
                  <c:v>3.259218056908181</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8-87DD-4F3C-A84B-B4BA0A98133C}"/>
            </c:ext>
          </c:extLst>
        </c:ser>
        <c:dLbls>
          <c:showLegendKey val="0"/>
          <c:showVal val="0"/>
          <c:showCatName val="0"/>
          <c:showSerName val="0"/>
          <c:showPercent val="0"/>
          <c:showBubbleSize val="0"/>
        </c:dLbls>
        <c:marker val="1"/>
        <c:smooth val="0"/>
        <c:axId val="480346624"/>
        <c:axId val="480299264"/>
      </c:lineChart>
      <c:catAx>
        <c:axId val="480346624"/>
        <c:scaling>
          <c:orientation val="minMax"/>
        </c:scaling>
        <c:delete val="0"/>
        <c:axPos val="b"/>
        <c:numFmt formatCode="General" sourceLinked="0"/>
        <c:majorTickMark val="out"/>
        <c:minorTickMark val="none"/>
        <c:tickLblPos val="nextTo"/>
        <c:txPr>
          <a:bodyPr/>
          <a:lstStyle/>
          <a:p>
            <a:pPr>
              <a:defRPr sz="1000"/>
            </a:pPr>
            <a:endParaRPr lang="nl-NL"/>
          </a:p>
        </c:txPr>
        <c:crossAx val="480299264"/>
        <c:crosses val="autoZero"/>
        <c:auto val="1"/>
        <c:lblAlgn val="ctr"/>
        <c:lblOffset val="100"/>
        <c:noMultiLvlLbl val="0"/>
      </c:catAx>
      <c:valAx>
        <c:axId val="480299264"/>
        <c:scaling>
          <c:orientation val="minMax"/>
          <c:max val="10"/>
          <c:min val="0"/>
        </c:scaling>
        <c:delete val="0"/>
        <c:axPos val="l"/>
        <c:majorGridlines/>
        <c:title>
          <c:tx>
            <c:rich>
              <a:bodyPr rot="-5400000" vert="horz"/>
              <a:lstStyle/>
              <a:p>
                <a:pPr>
                  <a:defRPr sz="1400"/>
                </a:pPr>
                <a:r>
                  <a:rPr lang="nl-NL" sz="1400"/>
                  <a:t>zuurstofgehalte in mg/l</a:t>
                </a:r>
              </a:p>
            </c:rich>
          </c:tx>
          <c:layout/>
          <c:overlay val="0"/>
        </c:title>
        <c:numFmt formatCode="0.0" sourceLinked="0"/>
        <c:majorTickMark val="out"/>
        <c:minorTickMark val="none"/>
        <c:tickLblPos val="nextTo"/>
        <c:crossAx val="480346624"/>
        <c:crosses val="autoZero"/>
        <c:crossBetween val="between"/>
      </c:valAx>
    </c:plotArea>
    <c:legend>
      <c:legendPos val="b"/>
      <c:legendEntry>
        <c:idx val="0"/>
        <c:delete val="1"/>
      </c:legendEntry>
      <c:legendEntry>
        <c:idx val="1"/>
        <c:delete val="1"/>
      </c:legendEntry>
      <c:legendEntry>
        <c:idx val="2"/>
        <c:delete val="1"/>
      </c:legendEntry>
      <c:layout>
        <c:manualLayout>
          <c:xMode val="edge"/>
          <c:yMode val="edge"/>
          <c:x val="1.5380744987028808E-2"/>
          <c:y val="0.90375220386509858"/>
          <c:w val="0.97470007106480017"/>
          <c:h val="8.3696636157355314E-2"/>
        </c:manualLayout>
      </c:layout>
      <c:overlay val="0"/>
      <c:txPr>
        <a:bodyPr/>
        <a:lstStyle/>
        <a:p>
          <a:pPr>
            <a:defRPr sz="1200"/>
          </a:pPr>
          <a:endParaRPr lang="nl-NL"/>
        </a:p>
      </c:txPr>
    </c:legend>
    <c:plotVisOnly val="1"/>
    <c:dispBlanksAs val="gap"/>
    <c:showDLblsOverMax val="0"/>
  </c:chart>
  <c:txPr>
    <a:bodyPr/>
    <a:lstStyle/>
    <a:p>
      <a:pPr>
        <a:defRPr sz="1200"/>
      </a:pPr>
      <a:endParaRPr lang="nl-NL"/>
    </a:p>
  </c:txPr>
</c:chartSpace>
</file>

<file path=xl/charts/chart9.xml><?xml version="1.0" encoding="utf-8"?>
<c:chartSpace xmlns:c="http://schemas.openxmlformats.org/drawingml/2006/chart" xmlns:a="http://schemas.openxmlformats.org/drawingml/2006/main" xmlns:r="http://schemas.openxmlformats.org/officeDocument/2006/relationships">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l-NL"/>
              <a:t>totale zuurstofvraag (direct en indirect) per bron </a:t>
            </a:r>
          </a:p>
        </c:rich>
      </c:tx>
      <c:layout/>
      <c:overlay val="1"/>
    </c:title>
    <c:autoTitleDeleted val="0"/>
    <c:plotArea>
      <c:layout>
        <c:manualLayout>
          <c:layoutTarget val="inner"/>
          <c:xMode val="edge"/>
          <c:yMode val="edge"/>
          <c:x val="8.4269128443115127E-2"/>
          <c:y val="7.9029245580554963E-2"/>
          <c:w val="0.61920052841030759"/>
          <c:h val="0.64415093734464468"/>
        </c:manualLayout>
      </c:layout>
      <c:barChart>
        <c:barDir val="col"/>
        <c:grouping val="stacked"/>
        <c:varyColors val="0"/>
        <c:ser>
          <c:idx val="0"/>
          <c:order val="0"/>
          <c:tx>
            <c:strRef>
              <c:f>'figuren belasting'!$A$109:$B$109</c:f>
              <c:strCache>
                <c:ptCount val="1"/>
                <c:pt idx="0">
                  <c:v>1 overstort gemengd stelsel</c:v>
                </c:pt>
              </c:strCache>
            </c:strRef>
          </c:tx>
          <c:spPr>
            <a:solidFill>
              <a:srgbClr val="FF0000"/>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belasting'!$C$109:$N$109</c:f>
              <c:numCache>
                <c:formatCode>0</c:formatCode>
                <c:ptCount val="12"/>
                <c:pt idx="0">
                  <c:v>1543.682191780822</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F121-44BC-922D-EDB483452958}"/>
            </c:ext>
          </c:extLst>
        </c:ser>
        <c:ser>
          <c:idx val="18"/>
          <c:order val="1"/>
          <c:tx>
            <c:strRef>
              <c:f>'figuren belasting'!$A$110:$B$110</c:f>
              <c:strCache>
                <c:ptCount val="1"/>
                <c:pt idx="0">
                  <c:v>2 overstort gemengd stelsel+BB-basin</c:v>
                </c:pt>
              </c:strCache>
            </c:strRef>
          </c:tx>
          <c:spPr>
            <a:solidFill>
              <a:srgbClr val="FFC000"/>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belasting'!$C$110:$N$110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1-F121-44BC-922D-EDB483452958}"/>
            </c:ext>
          </c:extLst>
        </c:ser>
        <c:ser>
          <c:idx val="1"/>
          <c:order val="2"/>
          <c:tx>
            <c:strRef>
              <c:f>'figuren belasting'!$A$111:$B$111</c:f>
              <c:strCache>
                <c:ptCount val="1"/>
                <c:pt idx="0">
                  <c:v>3 DWA-nooduitlaat</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belasting'!$C$111:$N$111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2-F121-44BC-922D-EDB483452958}"/>
            </c:ext>
          </c:extLst>
        </c:ser>
        <c:ser>
          <c:idx val="2"/>
          <c:order val="3"/>
          <c:tx>
            <c:strRef>
              <c:f>'figuren belasting'!$A$112:$B$112</c:f>
              <c:strCache>
                <c:ptCount val="1"/>
                <c:pt idx="0">
                  <c:v>4 RWZI effluent</c:v>
                </c:pt>
              </c:strCache>
            </c:strRef>
          </c:tx>
          <c:spPr>
            <a:solidFill>
              <a:schemeClr val="tx1">
                <a:lumMod val="50000"/>
                <a:lumOff val="50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belasting'!$C$112:$N$112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3-F121-44BC-922D-EDB483452958}"/>
            </c:ext>
          </c:extLst>
        </c:ser>
        <c:ser>
          <c:idx val="3"/>
          <c:order val="4"/>
          <c:tx>
            <c:strRef>
              <c:f>'figuren belasting'!$A$113:$B$113</c:f>
              <c:strCache>
                <c:ptCount val="1"/>
                <c:pt idx="0">
                  <c:v>5 hemelwaterafvoer</c:v>
                </c:pt>
              </c:strCache>
            </c:strRef>
          </c:tx>
          <c:spPr>
            <a:solidFill>
              <a:schemeClr val="accent1">
                <a:lumMod val="40000"/>
                <a:lumOff val="60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belasting'!$C$113:$N$113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4-F121-44BC-922D-EDB483452958}"/>
            </c:ext>
          </c:extLst>
        </c:ser>
        <c:ser>
          <c:idx val="4"/>
          <c:order val="5"/>
          <c:tx>
            <c:strRef>
              <c:f>'figuren belasting'!$A$114:$B$114</c:f>
              <c:strCache>
                <c:ptCount val="1"/>
                <c:pt idx="0">
                  <c:v>6 septic tanks</c:v>
                </c:pt>
              </c:strCache>
            </c:strRef>
          </c:tx>
          <c:spPr>
            <a:solidFill>
              <a:schemeClr val="accent6">
                <a:lumMod val="75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belasting'!$C$114:$N$114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5-F121-44BC-922D-EDB483452958}"/>
            </c:ext>
          </c:extLst>
        </c:ser>
        <c:ser>
          <c:idx val="5"/>
          <c:order val="6"/>
          <c:tx>
            <c:strRef>
              <c:f>'figuren belasting'!$A$115:$B$115</c:f>
              <c:strCache>
                <c:ptCount val="1"/>
                <c:pt idx="0">
                  <c:v>7 IBA's</c:v>
                </c:pt>
              </c:strCache>
            </c:strRef>
          </c:tx>
          <c:spPr>
            <a:solidFill>
              <a:schemeClr val="tx2">
                <a:lumMod val="60000"/>
                <a:lumOff val="40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belasting'!$C$115:$N$115</c:f>
              <c:numCache>
                <c:formatCode>0</c:formatCode>
                <c:ptCount val="12"/>
                <c:pt idx="0">
                  <c:v>198.55</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6-F121-44BC-922D-EDB483452958}"/>
            </c:ext>
          </c:extLst>
        </c:ser>
        <c:ser>
          <c:idx val="6"/>
          <c:order val="7"/>
          <c:tx>
            <c:strRef>
              <c:f>'figuren belasting'!$A$116:$B$116</c:f>
              <c:strCache>
                <c:ptCount val="1"/>
                <c:pt idx="0">
                  <c:v>8 bladval loofbomen</c:v>
                </c:pt>
              </c:strCache>
            </c:strRef>
          </c:tx>
          <c:spPr>
            <a:solidFill>
              <a:srgbClr val="92D050"/>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belasting'!$C$116:$N$116</c:f>
              <c:numCache>
                <c:formatCode>0</c:formatCode>
                <c:ptCount val="12"/>
                <c:pt idx="0">
                  <c:v>411</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7-F121-44BC-922D-EDB483452958}"/>
            </c:ext>
          </c:extLst>
        </c:ser>
        <c:ser>
          <c:idx val="7"/>
          <c:order val="8"/>
          <c:tx>
            <c:strRef>
              <c:f>'figuren belasting'!$A$117:$B$117</c:f>
              <c:strCache>
                <c:ptCount val="1"/>
                <c:pt idx="0">
                  <c:v>9 bladval naaldbomen</c:v>
                </c:pt>
              </c:strCache>
            </c:strRef>
          </c:tx>
          <c:spPr>
            <a:solidFill>
              <a:srgbClr val="00B050"/>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belasting'!$C$117:$N$117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8-F121-44BC-922D-EDB483452958}"/>
            </c:ext>
          </c:extLst>
        </c:ser>
        <c:ser>
          <c:idx val="8"/>
          <c:order val="9"/>
          <c:tx>
            <c:strRef>
              <c:f>'figuren belasting'!$A$118:$B$118</c:f>
              <c:strCache>
                <c:ptCount val="1"/>
                <c:pt idx="0">
                  <c:v>10 hondenpoep</c:v>
                </c:pt>
              </c:strCache>
            </c:strRef>
          </c:tx>
          <c:spPr>
            <a:solidFill>
              <a:srgbClr val="996633"/>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belasting'!$C$118:$N$118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9-F121-44BC-922D-EDB483452958}"/>
            </c:ext>
          </c:extLst>
        </c:ser>
        <c:ser>
          <c:idx val="9"/>
          <c:order val="10"/>
          <c:tx>
            <c:strRef>
              <c:f>'figuren belasting'!$A$119:$B$119</c:f>
              <c:strCache>
                <c:ptCount val="1"/>
                <c:pt idx="0">
                  <c:v>11 voeren vogels</c:v>
                </c:pt>
              </c:strCache>
            </c:strRef>
          </c:tx>
          <c:spPr>
            <a:solidFill>
              <a:schemeClr val="accent2">
                <a:lumMod val="40000"/>
                <a:lumOff val="60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belasting'!$C$119:$N$119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A-F121-44BC-922D-EDB483452958}"/>
            </c:ext>
          </c:extLst>
        </c:ser>
        <c:ser>
          <c:idx val="10"/>
          <c:order val="11"/>
          <c:tx>
            <c:strRef>
              <c:f>'figuren belasting'!$A$120:$B$120</c:f>
              <c:strCache>
                <c:ptCount val="1"/>
                <c:pt idx="0">
                  <c:v>12 lokvoer vissen</c:v>
                </c:pt>
              </c:strCache>
            </c:strRef>
          </c:tx>
          <c:spPr>
            <a:solidFill>
              <a:srgbClr val="FFFF00"/>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belasting'!$C$120:$N$120</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B-F121-44BC-922D-EDB483452958}"/>
            </c:ext>
          </c:extLst>
        </c:ser>
        <c:ser>
          <c:idx val="11"/>
          <c:order val="12"/>
          <c:tx>
            <c:strRef>
              <c:f>'figuren belasting'!$A$121:$B$121</c:f>
              <c:strCache>
                <c:ptCount val="1"/>
                <c:pt idx="0">
                  <c:v>13 afspoeling mest</c:v>
                </c:pt>
              </c:strCache>
            </c:strRef>
          </c:tx>
          <c:spPr>
            <a:solidFill>
              <a:schemeClr val="bg2">
                <a:lumMod val="50000"/>
              </a:schemeClr>
            </a:solidFill>
          </c:spPr>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belasting'!$C$121:$N$121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C-F121-44BC-922D-EDB483452958}"/>
            </c:ext>
          </c:extLst>
        </c:ser>
        <c:ser>
          <c:idx val="17"/>
          <c:order val="13"/>
          <c:tx>
            <c:strRef>
              <c:f>'figuren belasting'!$A$122:$B$122</c:f>
              <c:strCache>
                <c:ptCount val="1"/>
                <c:pt idx="0">
                  <c:v>14 aanvoerwater</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belasting'!$C$122:$N$122</c:f>
              <c:numCache>
                <c:formatCode>0</c:formatCode>
                <c:ptCount val="12"/>
                <c:pt idx="0">
                  <c:v>349.68</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D-F121-44BC-922D-EDB483452958}"/>
            </c:ext>
          </c:extLst>
        </c:ser>
        <c:ser>
          <c:idx val="12"/>
          <c:order val="14"/>
          <c:tx>
            <c:strRef>
              <c:f>'figuren belasting'!$A$123:$B$123</c:f>
              <c:strCache>
                <c:ptCount val="1"/>
                <c:pt idx="0">
                  <c:v>15 overige bron1</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belasting'!$C$123:$N$123</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E-F121-44BC-922D-EDB483452958}"/>
            </c:ext>
          </c:extLst>
        </c:ser>
        <c:ser>
          <c:idx val="13"/>
          <c:order val="15"/>
          <c:tx>
            <c:strRef>
              <c:f>'figuren belasting'!$A$124:$B$124</c:f>
              <c:strCache>
                <c:ptCount val="1"/>
                <c:pt idx="0">
                  <c:v>16 overige bron2</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belasting'!$C$124:$N$124</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F-F121-44BC-922D-EDB483452958}"/>
            </c:ext>
          </c:extLst>
        </c:ser>
        <c:ser>
          <c:idx val="14"/>
          <c:order val="16"/>
          <c:tx>
            <c:strRef>
              <c:f>'figuren belasting'!$A$125:$B$125</c:f>
              <c:strCache>
                <c:ptCount val="1"/>
                <c:pt idx="0">
                  <c:v>17 overige bron3</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belasting'!$C$125:$N$125</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0-F121-44BC-922D-EDB483452958}"/>
            </c:ext>
          </c:extLst>
        </c:ser>
        <c:ser>
          <c:idx val="15"/>
          <c:order val="17"/>
          <c:tx>
            <c:strRef>
              <c:f>'figuren belasting'!$A$126:$B$126</c:f>
              <c:strCache>
                <c:ptCount val="1"/>
                <c:pt idx="0">
                  <c:v>18 overige bron4</c:v>
                </c:pt>
              </c:strCache>
            </c:strRef>
          </c:tx>
          <c:invertIfNegative val="0"/>
          <c:cat>
            <c:strRef>
              <c:f>'figuren belasting'!$C$108:$N$108</c:f>
              <c:strCache>
                <c:ptCount val="12"/>
                <c:pt idx="0">
                  <c:v>Voorbeeld</c:v>
                </c:pt>
                <c:pt idx="1">
                  <c:v>water_2</c:v>
                </c:pt>
                <c:pt idx="2">
                  <c:v>water_3</c:v>
                </c:pt>
                <c:pt idx="3">
                  <c:v>water_4</c:v>
                </c:pt>
                <c:pt idx="4">
                  <c:v>water_5</c:v>
                </c:pt>
                <c:pt idx="5">
                  <c:v>water_6</c:v>
                </c:pt>
                <c:pt idx="6">
                  <c:v>water_7</c:v>
                </c:pt>
                <c:pt idx="7">
                  <c:v>water_8</c:v>
                </c:pt>
                <c:pt idx="8">
                  <c:v>water_9</c:v>
                </c:pt>
                <c:pt idx="9">
                  <c:v>water_10</c:v>
                </c:pt>
                <c:pt idx="10">
                  <c:v>water_11</c:v>
                </c:pt>
                <c:pt idx="11">
                  <c:v>water_12</c:v>
                </c:pt>
              </c:strCache>
            </c:strRef>
          </c:cat>
          <c:val>
            <c:numRef>
              <c:f>'figuren belasting'!$C$126:$N$126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11-F121-44BC-922D-EDB483452958}"/>
            </c:ext>
          </c:extLst>
        </c:ser>
        <c:dLbls>
          <c:showLegendKey val="0"/>
          <c:showVal val="0"/>
          <c:showCatName val="0"/>
          <c:showSerName val="0"/>
          <c:showPercent val="0"/>
          <c:showBubbleSize val="0"/>
        </c:dLbls>
        <c:gapWidth val="150"/>
        <c:overlap val="100"/>
        <c:axId val="481264128"/>
        <c:axId val="480301568"/>
      </c:barChart>
      <c:catAx>
        <c:axId val="481264128"/>
        <c:scaling>
          <c:orientation val="minMax"/>
        </c:scaling>
        <c:delete val="0"/>
        <c:axPos val="b"/>
        <c:numFmt formatCode="General" sourceLinked="0"/>
        <c:majorTickMark val="out"/>
        <c:minorTickMark val="none"/>
        <c:tickLblPos val="nextTo"/>
        <c:crossAx val="480301568"/>
        <c:crosses val="autoZero"/>
        <c:auto val="1"/>
        <c:lblAlgn val="ctr"/>
        <c:lblOffset val="100"/>
        <c:noMultiLvlLbl val="0"/>
      </c:catAx>
      <c:valAx>
        <c:axId val="480301568"/>
        <c:scaling>
          <c:orientation val="minMax"/>
        </c:scaling>
        <c:delete val="0"/>
        <c:axPos val="l"/>
        <c:majorGridlines>
          <c:spPr>
            <a:ln>
              <a:solidFill>
                <a:schemeClr val="bg1">
                  <a:lumMod val="85000"/>
                </a:schemeClr>
              </a:solidFill>
            </a:ln>
          </c:spPr>
        </c:majorGridlines>
        <c:title>
          <c:tx>
            <c:rich>
              <a:bodyPr rot="-5400000" vert="horz"/>
              <a:lstStyle/>
              <a:p>
                <a:pPr>
                  <a:defRPr/>
                </a:pPr>
                <a:r>
                  <a:rPr lang="nl-NL"/>
                  <a:t>zuurstofvraag in gram O</a:t>
                </a:r>
                <a:r>
                  <a:rPr lang="nl-NL" baseline="-25000"/>
                  <a:t>2</a:t>
                </a:r>
                <a:r>
                  <a:rPr lang="nl-NL"/>
                  <a:t> per dag</a:t>
                </a:r>
              </a:p>
            </c:rich>
          </c:tx>
          <c:layout/>
          <c:overlay val="0"/>
        </c:title>
        <c:numFmt formatCode="0" sourceLinked="1"/>
        <c:majorTickMark val="out"/>
        <c:minorTickMark val="none"/>
        <c:tickLblPos val="nextTo"/>
        <c:crossAx val="4812641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Grafiek3">
    <tabColor theme="4" tint="0.79998168889431442"/>
  </sheetPr>
  <sheetViews>
    <sheetView zoomScale="115" workbookViewId="0"/>
  </sheetViews>
  <sheetProtection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5</xdr:col>
      <xdr:colOff>6566</xdr:colOff>
      <xdr:row>40</xdr:row>
      <xdr:rowOff>78441</xdr:rowOff>
    </xdr:from>
    <xdr:to>
      <xdr:col>5</xdr:col>
      <xdr:colOff>2061882</xdr:colOff>
      <xdr:row>48</xdr:row>
      <xdr:rowOff>190500</xdr:rowOff>
    </xdr:to>
    <xdr:graphicFrame macro="">
      <xdr:nvGraphicFramePr>
        <xdr:cNvPr id="5" name="Grafiek 4">
          <a:extLst>
            <a:ext uri="{FF2B5EF4-FFF2-40B4-BE49-F238E27FC236}">
              <a16:creationId xmlns="" xmlns:a16="http://schemas.microsoft.com/office/drawing/2014/main" id="{00000000-0008-0000-04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2360561</xdr:colOff>
      <xdr:row>84</xdr:row>
      <xdr:rowOff>208261</xdr:rowOff>
    </xdr:from>
    <xdr:to>
      <xdr:col>10</xdr:col>
      <xdr:colOff>18795</xdr:colOff>
      <xdr:row>90</xdr:row>
      <xdr:rowOff>216290</xdr:rowOff>
    </xdr:to>
    <xdr:graphicFrame macro="">
      <xdr:nvGraphicFramePr>
        <xdr:cNvPr id="6" name="Grafiek 5">
          <a:extLst>
            <a:ext uri="{FF2B5EF4-FFF2-40B4-BE49-F238E27FC236}">
              <a16:creationId xmlns="" xmlns:a16="http://schemas.microsoft.com/office/drawing/2014/main" id="{00000000-0008-0000-0300-000002000000}"/>
            </a:ext>
          </a:extLst>
        </xdr:cNvPr>
        <xdr:cNvGraphicFramePr>
          <a:graphicFrameLocks noGrp="1"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1905000</xdr:colOff>
      <xdr:row>40</xdr:row>
      <xdr:rowOff>44823</xdr:rowOff>
    </xdr:from>
    <xdr:to>
      <xdr:col>10</xdr:col>
      <xdr:colOff>67235</xdr:colOff>
      <xdr:row>48</xdr:row>
      <xdr:rowOff>168089</xdr:rowOff>
    </xdr:to>
    <xdr:graphicFrame macro="">
      <xdr:nvGraphicFramePr>
        <xdr:cNvPr id="9" name="Grafiek 8">
          <a:extLst>
            <a:ext uri="{FF2B5EF4-FFF2-40B4-BE49-F238E27FC236}">
              <a16:creationId xmlns=""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540203</xdr:colOff>
      <xdr:row>98</xdr:row>
      <xdr:rowOff>210552</xdr:rowOff>
    </xdr:from>
    <xdr:to>
      <xdr:col>3</xdr:col>
      <xdr:colOff>2149929</xdr:colOff>
      <xdr:row>100</xdr:row>
      <xdr:rowOff>1090747</xdr:rowOff>
    </xdr:to>
    <xdr:graphicFrame macro="">
      <xdr:nvGraphicFramePr>
        <xdr:cNvPr id="10" name="Grafiek 9">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2236621</xdr:colOff>
      <xdr:row>99</xdr:row>
      <xdr:rowOff>0</xdr:rowOff>
    </xdr:from>
    <xdr:to>
      <xdr:col>5</xdr:col>
      <xdr:colOff>291317</xdr:colOff>
      <xdr:row>100</xdr:row>
      <xdr:rowOff>1124294</xdr:rowOff>
    </xdr:to>
    <xdr:graphicFrame macro="">
      <xdr:nvGraphicFramePr>
        <xdr:cNvPr id="11" name="Grafiek 10">
          <a:extLst>
            <a:ext uri="{FF2B5EF4-FFF2-40B4-BE49-F238E27FC236}">
              <a16:creationId xmlns="" xmlns:a16="http://schemas.microsoft.com/office/drawing/2014/main" id="{00000000-0008-0000-05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326572</xdr:colOff>
      <xdr:row>98</xdr:row>
      <xdr:rowOff>215566</xdr:rowOff>
    </xdr:from>
    <xdr:to>
      <xdr:col>5</xdr:col>
      <xdr:colOff>1940945</xdr:colOff>
      <xdr:row>100</xdr:row>
      <xdr:rowOff>1125246</xdr:rowOff>
    </xdr:to>
    <xdr:graphicFrame macro="">
      <xdr:nvGraphicFramePr>
        <xdr:cNvPr id="12" name="Grafiek 11">
          <a:extLst>
            <a:ext uri="{FF2B5EF4-FFF2-40B4-BE49-F238E27FC236}">
              <a16:creationId xmlns="" xmlns:a16="http://schemas.microsoft.com/office/drawing/2014/main" id="{00000000-0008-0000-05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2048755</xdr:colOff>
      <xdr:row>98</xdr:row>
      <xdr:rowOff>215566</xdr:rowOff>
    </xdr:from>
    <xdr:to>
      <xdr:col>9</xdr:col>
      <xdr:colOff>62630</xdr:colOff>
      <xdr:row>100</xdr:row>
      <xdr:rowOff>1132166</xdr:rowOff>
    </xdr:to>
    <xdr:graphicFrame macro="">
      <xdr:nvGraphicFramePr>
        <xdr:cNvPr id="13" name="Grafiek 12">
          <a:extLst>
            <a:ext uri="{FF2B5EF4-FFF2-40B4-BE49-F238E27FC236}">
              <a16:creationId xmlns="" xmlns:a16="http://schemas.microsoft.com/office/drawing/2014/main" id="{00000000-0008-0000-05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301370" cy="6071152"/>
    <xdr:graphicFrame macro="">
      <xdr:nvGraphicFramePr>
        <xdr:cNvPr id="2" name="Grafiek 1">
          <a:extLst>
            <a:ext uri="{FF2B5EF4-FFF2-40B4-BE49-F238E27FC236}">
              <a16:creationId xmlns=""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47625</xdr:rowOff>
    </xdr:from>
    <xdr:to>
      <xdr:col>12</xdr:col>
      <xdr:colOff>266699</xdr:colOff>
      <xdr:row>33</xdr:row>
      <xdr:rowOff>47625</xdr:rowOff>
    </xdr:to>
    <xdr:graphicFrame macro="">
      <xdr:nvGraphicFramePr>
        <xdr:cNvPr id="4" name="Grafiek 3">
          <a:extLst>
            <a:ext uri="{FF2B5EF4-FFF2-40B4-BE49-F238E27FC236}">
              <a16:creationId xmlns=""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0</xdr:row>
      <xdr:rowOff>76200</xdr:rowOff>
    </xdr:from>
    <xdr:to>
      <xdr:col>27</xdr:col>
      <xdr:colOff>19049</xdr:colOff>
      <xdr:row>33</xdr:row>
      <xdr:rowOff>76200</xdr:rowOff>
    </xdr:to>
    <xdr:graphicFrame macro="">
      <xdr:nvGraphicFramePr>
        <xdr:cNvPr id="6" name="Grafiek 5">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33</xdr:row>
      <xdr:rowOff>122463</xdr:rowOff>
    </xdr:from>
    <xdr:to>
      <xdr:col>12</xdr:col>
      <xdr:colOff>266699</xdr:colOff>
      <xdr:row>66</xdr:row>
      <xdr:rowOff>122463</xdr:rowOff>
    </xdr:to>
    <xdr:graphicFrame macro="">
      <xdr:nvGraphicFramePr>
        <xdr:cNvPr id="9" name="Grafiek 8">
          <a:extLst>
            <a:ext uri="{FF2B5EF4-FFF2-40B4-BE49-F238E27FC236}">
              <a16:creationId xmlns=""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0</xdr:colOff>
      <xdr:row>34</xdr:row>
      <xdr:rowOff>0</xdr:rowOff>
    </xdr:from>
    <xdr:to>
      <xdr:col>27</xdr:col>
      <xdr:colOff>19049</xdr:colOff>
      <xdr:row>67</xdr:row>
      <xdr:rowOff>0</xdr:rowOff>
    </xdr:to>
    <xdr:graphicFrame macro="">
      <xdr:nvGraphicFramePr>
        <xdr:cNvPr id="11" name="Grafiek 10">
          <a:extLst>
            <a:ext uri="{FF2B5EF4-FFF2-40B4-BE49-F238E27FC236}">
              <a16:creationId xmlns=""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97092</xdr:colOff>
      <xdr:row>0</xdr:row>
      <xdr:rowOff>82042</xdr:rowOff>
    </xdr:from>
    <xdr:to>
      <xdr:col>4</xdr:col>
      <xdr:colOff>35459</xdr:colOff>
      <xdr:row>26</xdr:row>
      <xdr:rowOff>139192</xdr:rowOff>
    </xdr:to>
    <xdr:graphicFrame macro="">
      <xdr:nvGraphicFramePr>
        <xdr:cNvPr id="2" name="Grafiek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61400</xdr:colOff>
      <xdr:row>0</xdr:row>
      <xdr:rowOff>81090</xdr:rowOff>
    </xdr:from>
    <xdr:to>
      <xdr:col>9</xdr:col>
      <xdr:colOff>880151</xdr:colOff>
      <xdr:row>26</xdr:row>
      <xdr:rowOff>138240</xdr:rowOff>
    </xdr:to>
    <xdr:graphicFrame macro="">
      <xdr:nvGraphicFramePr>
        <xdr:cNvPr id="3" name="Grafiek 2">
          <a:extLst>
            <a:ext uri="{FF2B5EF4-FFF2-40B4-BE49-F238E27FC236}">
              <a16:creationId xmlns=""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87568</xdr:colOff>
      <xdr:row>26</xdr:row>
      <xdr:rowOff>177292</xdr:rowOff>
    </xdr:from>
    <xdr:to>
      <xdr:col>4</xdr:col>
      <xdr:colOff>35460</xdr:colOff>
      <xdr:row>53</xdr:row>
      <xdr:rowOff>43942</xdr:rowOff>
    </xdr:to>
    <xdr:graphicFrame macro="">
      <xdr:nvGraphicFramePr>
        <xdr:cNvPr id="4" name="Grafiek 3">
          <a:extLst>
            <a:ext uri="{FF2B5EF4-FFF2-40B4-BE49-F238E27FC236}">
              <a16:creationId xmlns=""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64034</xdr:colOff>
      <xdr:row>26</xdr:row>
      <xdr:rowOff>170604</xdr:rowOff>
    </xdr:from>
    <xdr:to>
      <xdr:col>9</xdr:col>
      <xdr:colOff>882785</xdr:colOff>
      <xdr:row>53</xdr:row>
      <xdr:rowOff>37254</xdr:rowOff>
    </xdr:to>
    <xdr:graphicFrame macro="">
      <xdr:nvGraphicFramePr>
        <xdr:cNvPr id="5" name="Grafiek 4">
          <a:extLst>
            <a:ext uri="{FF2B5EF4-FFF2-40B4-BE49-F238E27FC236}">
              <a16:creationId xmlns=""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163285</xdr:colOff>
      <xdr:row>32</xdr:row>
      <xdr:rowOff>16625</xdr:rowOff>
    </xdr:from>
    <xdr:to>
      <xdr:col>18</xdr:col>
      <xdr:colOff>831414</xdr:colOff>
      <xdr:row>42</xdr:row>
      <xdr:rowOff>108858</xdr:rowOff>
    </xdr:to>
    <xdr:pic>
      <xdr:nvPicPr>
        <xdr:cNvPr id="5" name="Afbeelding 4">
          <a:extLst>
            <a:ext uri="{FF2B5EF4-FFF2-40B4-BE49-F238E27FC236}">
              <a16:creationId xmlns=""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8681356" y="8004018"/>
          <a:ext cx="5729987" cy="1589019"/>
        </a:xfrm>
        <a:prstGeom prst="rect">
          <a:avLst/>
        </a:prstGeom>
      </xdr:spPr>
    </xdr:pic>
    <xdr:clientData/>
  </xdr:twoCellAnchor>
  <xdr:twoCellAnchor editAs="oneCell">
    <xdr:from>
      <xdr:col>15</xdr:col>
      <xdr:colOff>484045</xdr:colOff>
      <xdr:row>22</xdr:row>
      <xdr:rowOff>0</xdr:rowOff>
    </xdr:from>
    <xdr:to>
      <xdr:col>21</xdr:col>
      <xdr:colOff>833296</xdr:colOff>
      <xdr:row>31</xdr:row>
      <xdr:rowOff>119741</xdr:rowOff>
    </xdr:to>
    <xdr:pic>
      <xdr:nvPicPr>
        <xdr:cNvPr id="6" name="Afbeelding 5">
          <a:extLst>
            <a:ext uri="{FF2B5EF4-FFF2-40B4-BE49-F238E27FC236}">
              <a16:creationId xmlns=""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a:off x="11533045" y="6490607"/>
          <a:ext cx="5411108" cy="1466848"/>
        </a:xfrm>
        <a:prstGeom prst="rect">
          <a:avLst/>
        </a:prstGeom>
      </xdr:spPr>
    </xdr:pic>
    <xdr:clientData/>
  </xdr:twoCellAnchor>
  <xdr:twoCellAnchor>
    <xdr:from>
      <xdr:col>5</xdr:col>
      <xdr:colOff>1483178</xdr:colOff>
      <xdr:row>13</xdr:row>
      <xdr:rowOff>653143</xdr:rowOff>
    </xdr:from>
    <xdr:to>
      <xdr:col>10</xdr:col>
      <xdr:colOff>68035</xdr:colOff>
      <xdr:row>22</xdr:row>
      <xdr:rowOff>40822</xdr:rowOff>
    </xdr:to>
    <xdr:sp macro="" textlink="">
      <xdr:nvSpPr>
        <xdr:cNvPr id="11" name="Ovaal 10">
          <a:extLst>
            <a:ext uri="{FF2B5EF4-FFF2-40B4-BE49-F238E27FC236}">
              <a16:creationId xmlns="" xmlns:a16="http://schemas.microsoft.com/office/drawing/2014/main" id="{00000000-0008-0000-0800-00000B000000}"/>
            </a:ext>
          </a:extLst>
        </xdr:cNvPr>
        <xdr:cNvSpPr/>
      </xdr:nvSpPr>
      <xdr:spPr>
        <a:xfrm>
          <a:off x="4640035" y="4735286"/>
          <a:ext cx="2258786" cy="179614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17</xdr:col>
      <xdr:colOff>394606</xdr:colOff>
      <xdr:row>9</xdr:row>
      <xdr:rowOff>108858</xdr:rowOff>
    </xdr:from>
    <xdr:to>
      <xdr:col>19</xdr:col>
      <xdr:colOff>598714</xdr:colOff>
      <xdr:row>13</xdr:row>
      <xdr:rowOff>476250</xdr:rowOff>
    </xdr:to>
    <xdr:sp macro="" textlink="">
      <xdr:nvSpPr>
        <xdr:cNvPr id="12" name="Tekstvak 11">
          <a:extLst>
            <a:ext uri="{FF2B5EF4-FFF2-40B4-BE49-F238E27FC236}">
              <a16:creationId xmlns="" xmlns:a16="http://schemas.microsoft.com/office/drawing/2014/main" id="{00000000-0008-0000-0800-00000C000000}"/>
            </a:ext>
          </a:extLst>
        </xdr:cNvPr>
        <xdr:cNvSpPr txBox="1"/>
      </xdr:nvSpPr>
      <xdr:spPr>
        <a:xfrm>
          <a:off x="13130892" y="3537858"/>
          <a:ext cx="1891393" cy="1020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ysClr val="windowText" lastClr="000000"/>
              </a:solidFill>
            </a:rPr>
            <a:t>Kentallen (in tabblad kentallen) en debieten (T=1 en jaardebiet) aangepast om in overeenstemming te brengen met de overstorten:</a:t>
          </a:r>
        </a:p>
      </xdr:txBody>
    </xdr:sp>
    <xdr:clientData/>
  </xdr:twoCellAnchor>
  <xdr:twoCellAnchor>
    <xdr:from>
      <xdr:col>16</xdr:col>
      <xdr:colOff>179614</xdr:colOff>
      <xdr:row>13</xdr:row>
      <xdr:rowOff>805543</xdr:rowOff>
    </xdr:from>
    <xdr:to>
      <xdr:col>19</xdr:col>
      <xdr:colOff>68036</xdr:colOff>
      <xdr:row>22</xdr:row>
      <xdr:rowOff>40823</xdr:rowOff>
    </xdr:to>
    <xdr:sp macro="" textlink="">
      <xdr:nvSpPr>
        <xdr:cNvPr id="13" name="Ovaal 12">
          <a:extLst>
            <a:ext uri="{FF2B5EF4-FFF2-40B4-BE49-F238E27FC236}">
              <a16:creationId xmlns="" xmlns:a16="http://schemas.microsoft.com/office/drawing/2014/main" id="{00000000-0008-0000-0800-00000D000000}"/>
            </a:ext>
          </a:extLst>
        </xdr:cNvPr>
        <xdr:cNvSpPr/>
      </xdr:nvSpPr>
      <xdr:spPr>
        <a:xfrm>
          <a:off x="12072257" y="4887686"/>
          <a:ext cx="2419350" cy="164374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19</xdr:col>
      <xdr:colOff>163286</xdr:colOff>
      <xdr:row>13</xdr:row>
      <xdr:rowOff>775607</xdr:rowOff>
    </xdr:from>
    <xdr:to>
      <xdr:col>22</xdr:col>
      <xdr:colOff>81643</xdr:colOff>
      <xdr:row>22</xdr:row>
      <xdr:rowOff>5442</xdr:rowOff>
    </xdr:to>
    <xdr:sp macro="" textlink="">
      <xdr:nvSpPr>
        <xdr:cNvPr id="14" name="Ovaal 13">
          <a:extLst>
            <a:ext uri="{FF2B5EF4-FFF2-40B4-BE49-F238E27FC236}">
              <a16:creationId xmlns="" xmlns:a16="http://schemas.microsoft.com/office/drawing/2014/main" id="{00000000-0008-0000-0800-00000E000000}"/>
            </a:ext>
          </a:extLst>
        </xdr:cNvPr>
        <xdr:cNvSpPr/>
      </xdr:nvSpPr>
      <xdr:spPr>
        <a:xfrm>
          <a:off x="14586857" y="4857750"/>
          <a:ext cx="2449286" cy="1638299"/>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8</xdr:col>
      <xdr:colOff>-1</xdr:colOff>
      <xdr:row>12</xdr:row>
      <xdr:rowOff>115662</xdr:rowOff>
    </xdr:from>
    <xdr:to>
      <xdr:col>17</xdr:col>
      <xdr:colOff>394606</xdr:colOff>
      <xdr:row>13</xdr:row>
      <xdr:rowOff>653143</xdr:rowOff>
    </xdr:to>
    <xdr:cxnSp macro="">
      <xdr:nvCxnSpPr>
        <xdr:cNvPr id="16" name="Gebogen verbindingslijn 15">
          <a:extLst>
            <a:ext uri="{FF2B5EF4-FFF2-40B4-BE49-F238E27FC236}">
              <a16:creationId xmlns="" xmlns:a16="http://schemas.microsoft.com/office/drawing/2014/main" id="{00000000-0008-0000-0800-000010000000}"/>
            </a:ext>
          </a:extLst>
        </xdr:cNvPr>
        <xdr:cNvCxnSpPr>
          <a:stCxn id="12" idx="1"/>
          <a:endCxn id="11" idx="0"/>
        </xdr:cNvCxnSpPr>
      </xdr:nvCxnSpPr>
      <xdr:spPr>
        <a:xfrm rot="10800000" flipV="1">
          <a:off x="5769428" y="4048126"/>
          <a:ext cx="7361464" cy="687160"/>
        </a:xfrm>
        <a:prstGeom prst="bentConnector2">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598714</xdr:colOff>
      <xdr:row>12</xdr:row>
      <xdr:rowOff>115662</xdr:rowOff>
    </xdr:from>
    <xdr:to>
      <xdr:col>20</xdr:col>
      <xdr:colOff>544286</xdr:colOff>
      <xdr:row>13</xdr:row>
      <xdr:rowOff>775607</xdr:rowOff>
    </xdr:to>
    <xdr:cxnSp macro="">
      <xdr:nvCxnSpPr>
        <xdr:cNvPr id="20" name="Gebogen verbindingslijn 19">
          <a:extLst>
            <a:ext uri="{FF2B5EF4-FFF2-40B4-BE49-F238E27FC236}">
              <a16:creationId xmlns="" xmlns:a16="http://schemas.microsoft.com/office/drawing/2014/main" id="{00000000-0008-0000-0800-000014000000}"/>
            </a:ext>
          </a:extLst>
        </xdr:cNvPr>
        <xdr:cNvCxnSpPr>
          <a:stCxn id="12" idx="3"/>
          <a:endCxn id="14" idx="0"/>
        </xdr:cNvCxnSpPr>
      </xdr:nvCxnSpPr>
      <xdr:spPr>
        <a:xfrm>
          <a:off x="15022285" y="4048126"/>
          <a:ext cx="789215" cy="809624"/>
        </a:xfrm>
        <a:prstGeom prst="bentConnector2">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545647</xdr:colOff>
      <xdr:row>13</xdr:row>
      <xdr:rowOff>476250</xdr:rowOff>
    </xdr:from>
    <xdr:to>
      <xdr:col>18</xdr:col>
      <xdr:colOff>496661</xdr:colOff>
      <xdr:row>13</xdr:row>
      <xdr:rowOff>805543</xdr:rowOff>
    </xdr:to>
    <xdr:cxnSp macro="">
      <xdr:nvCxnSpPr>
        <xdr:cNvPr id="21" name="Gebogen verbindingslijn 20">
          <a:extLst>
            <a:ext uri="{FF2B5EF4-FFF2-40B4-BE49-F238E27FC236}">
              <a16:creationId xmlns="" xmlns:a16="http://schemas.microsoft.com/office/drawing/2014/main" id="{00000000-0008-0000-0800-000015000000}"/>
            </a:ext>
          </a:extLst>
        </xdr:cNvPr>
        <xdr:cNvCxnSpPr>
          <a:stCxn id="12" idx="2"/>
          <a:endCxn id="13" idx="0"/>
        </xdr:cNvCxnSpPr>
      </xdr:nvCxnSpPr>
      <xdr:spPr>
        <a:xfrm rot="5400000">
          <a:off x="13514615" y="4325711"/>
          <a:ext cx="329293" cy="794657"/>
        </a:xfrm>
        <a:prstGeom prst="bentConnector3">
          <a:avLst>
            <a:gd name="adj1" fmla="val 50000"/>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25</xdr:col>
      <xdr:colOff>40824</xdr:colOff>
      <xdr:row>0</xdr:row>
      <xdr:rowOff>54428</xdr:rowOff>
    </xdr:from>
    <xdr:to>
      <xdr:col>35</xdr:col>
      <xdr:colOff>530680</xdr:colOff>
      <xdr:row>13</xdr:row>
      <xdr:rowOff>367392</xdr:rowOff>
    </xdr:to>
    <xdr:pic>
      <xdr:nvPicPr>
        <xdr:cNvPr id="2" name="Afbeelding 1"/>
        <xdr:cNvPicPr>
          <a:picLocks noChangeAspect="1"/>
        </xdr:cNvPicPr>
      </xdr:nvPicPr>
      <xdr:blipFill>
        <a:blip xmlns:r="http://schemas.openxmlformats.org/officeDocument/2006/relationships" r:embed="rId3"/>
        <a:stretch>
          <a:fillRect/>
        </a:stretch>
      </xdr:blipFill>
      <xdr:spPr>
        <a:xfrm>
          <a:off x="19934467" y="54428"/>
          <a:ext cx="6613070" cy="4395107"/>
        </a:xfrm>
        <a:prstGeom prst="rect">
          <a:avLst/>
        </a:prstGeom>
      </xdr:spPr>
    </xdr:pic>
    <xdr:clientData/>
  </xdr:twoCellAnchor>
  <xdr:twoCellAnchor editAs="oneCell">
    <xdr:from>
      <xdr:col>25</xdr:col>
      <xdr:colOff>40822</xdr:colOff>
      <xdr:row>13</xdr:row>
      <xdr:rowOff>435428</xdr:rowOff>
    </xdr:from>
    <xdr:to>
      <xdr:col>35</xdr:col>
      <xdr:colOff>537964</xdr:colOff>
      <xdr:row>62</xdr:row>
      <xdr:rowOff>54428</xdr:rowOff>
    </xdr:to>
    <xdr:pic>
      <xdr:nvPicPr>
        <xdr:cNvPr id="3" name="Afbeelding 2"/>
        <xdr:cNvPicPr>
          <a:picLocks noChangeAspect="1"/>
        </xdr:cNvPicPr>
      </xdr:nvPicPr>
      <xdr:blipFill>
        <a:blip xmlns:r="http://schemas.openxmlformats.org/officeDocument/2006/relationships" r:embed="rId4"/>
        <a:stretch>
          <a:fillRect/>
        </a:stretch>
      </xdr:blipFill>
      <xdr:spPr>
        <a:xfrm>
          <a:off x="19934465" y="4517571"/>
          <a:ext cx="6620356" cy="80146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25</xdr:col>
      <xdr:colOff>502104</xdr:colOff>
      <xdr:row>0</xdr:row>
      <xdr:rowOff>236764</xdr:rowOff>
    </xdr:from>
    <xdr:to>
      <xdr:col>31</xdr:col>
      <xdr:colOff>558790</xdr:colOff>
      <xdr:row>15</xdr:row>
      <xdr:rowOff>97661</xdr:rowOff>
    </xdr:to>
    <xdr:pic>
      <xdr:nvPicPr>
        <xdr:cNvPr id="2" name="Afbeelding 1">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26301247" y="236764"/>
          <a:ext cx="3730614" cy="3016347"/>
        </a:xfrm>
        <a:prstGeom prst="rect">
          <a:avLst/>
        </a:prstGeom>
      </xdr:spPr>
    </xdr:pic>
    <xdr:clientData/>
  </xdr:twoCellAnchor>
  <xdr:twoCellAnchor editAs="oneCell">
    <xdr:from>
      <xdr:col>17</xdr:col>
      <xdr:colOff>250891</xdr:colOff>
      <xdr:row>1</xdr:row>
      <xdr:rowOff>28576</xdr:rowOff>
    </xdr:from>
    <xdr:to>
      <xdr:col>25</xdr:col>
      <xdr:colOff>31797</xdr:colOff>
      <xdr:row>17</xdr:row>
      <xdr:rowOff>59352</xdr:rowOff>
    </xdr:to>
    <xdr:pic>
      <xdr:nvPicPr>
        <xdr:cNvPr id="3" name="Afbeelding 2">
          <a:extLst>
            <a:ext uri="{FF2B5EF4-FFF2-40B4-BE49-F238E27FC236}">
              <a16:creationId xmlns=""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21151462" y="355147"/>
          <a:ext cx="4679478" cy="3236573"/>
        </a:xfrm>
        <a:prstGeom prst="rect">
          <a:avLst/>
        </a:prstGeom>
      </xdr:spPr>
    </xdr:pic>
    <xdr:clientData/>
  </xdr:twoCellAnchor>
  <xdr:twoCellAnchor editAs="oneCell">
    <xdr:from>
      <xdr:col>7</xdr:col>
      <xdr:colOff>752475</xdr:colOff>
      <xdr:row>33</xdr:row>
      <xdr:rowOff>121118</xdr:rowOff>
    </xdr:from>
    <xdr:to>
      <xdr:col>15</xdr:col>
      <xdr:colOff>304697</xdr:colOff>
      <xdr:row>53</xdr:row>
      <xdr:rowOff>173355</xdr:rowOff>
    </xdr:to>
    <xdr:pic>
      <xdr:nvPicPr>
        <xdr:cNvPr id="4" name="Afbeelding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13716000" y="5197943"/>
          <a:ext cx="7248422" cy="35479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22</xdr:col>
      <xdr:colOff>57150</xdr:colOff>
      <xdr:row>6</xdr:row>
      <xdr:rowOff>19050</xdr:rowOff>
    </xdr:from>
    <xdr:to>
      <xdr:col>32</xdr:col>
      <xdr:colOff>475436</xdr:colOff>
      <xdr:row>54</xdr:row>
      <xdr:rowOff>84573</xdr:rowOff>
    </xdr:to>
    <xdr:pic>
      <xdr:nvPicPr>
        <xdr:cNvPr id="3" name="Afbeelding 2">
          <a:extLst>
            <a:ext uri="{FF2B5EF4-FFF2-40B4-BE49-F238E27FC236}">
              <a16:creationId xmlns=""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211175" y="257175"/>
          <a:ext cx="6514286" cy="9219048"/>
        </a:xfrm>
        <a:prstGeom prst="rect">
          <a:avLst/>
        </a:prstGeom>
      </xdr:spPr>
    </xdr:pic>
    <xdr:clientData/>
  </xdr:twoCellAnchor>
  <xdr:twoCellAnchor editAs="oneCell">
    <xdr:from>
      <xdr:col>0</xdr:col>
      <xdr:colOff>0</xdr:colOff>
      <xdr:row>6</xdr:row>
      <xdr:rowOff>0</xdr:rowOff>
    </xdr:from>
    <xdr:to>
      <xdr:col>9</xdr:col>
      <xdr:colOff>418362</xdr:colOff>
      <xdr:row>51</xdr:row>
      <xdr:rowOff>160833</xdr:rowOff>
    </xdr:to>
    <xdr:pic>
      <xdr:nvPicPr>
        <xdr:cNvPr id="6" name="Afbeelding 5">
          <a:extLst>
            <a:ext uri="{FF2B5EF4-FFF2-40B4-BE49-F238E27FC236}">
              <a16:creationId xmlns=""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0" y="247650"/>
          <a:ext cx="5904762" cy="8742858"/>
        </a:xfrm>
        <a:prstGeom prst="rect">
          <a:avLst/>
        </a:prstGeom>
      </xdr:spPr>
    </xdr:pic>
    <xdr:clientData/>
  </xdr:twoCellAnchor>
  <xdr:twoCellAnchor>
    <xdr:from>
      <xdr:col>1</xdr:col>
      <xdr:colOff>561975</xdr:colOff>
      <xdr:row>28</xdr:row>
      <xdr:rowOff>9525</xdr:rowOff>
    </xdr:from>
    <xdr:to>
      <xdr:col>6</xdr:col>
      <xdr:colOff>152400</xdr:colOff>
      <xdr:row>40</xdr:row>
      <xdr:rowOff>0</xdr:rowOff>
    </xdr:to>
    <xdr:sp macro="" textlink="">
      <xdr:nvSpPr>
        <xdr:cNvPr id="7" name="Vermenigvuldigen 6">
          <a:extLst>
            <a:ext uri="{FF2B5EF4-FFF2-40B4-BE49-F238E27FC236}">
              <a16:creationId xmlns="" xmlns:a16="http://schemas.microsoft.com/office/drawing/2014/main" id="{00000000-0008-0000-0700-000007000000}"/>
            </a:ext>
          </a:extLst>
        </xdr:cNvPr>
        <xdr:cNvSpPr/>
      </xdr:nvSpPr>
      <xdr:spPr>
        <a:xfrm>
          <a:off x="1171575" y="4448175"/>
          <a:ext cx="2638425" cy="2286000"/>
        </a:xfrm>
        <a:prstGeom prst="mathMultiply">
          <a:avLst/>
        </a:prstGeom>
        <a:solidFill>
          <a:srgbClr val="FF0000">
            <a:alpha val="28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14</xdr:col>
      <xdr:colOff>161925</xdr:colOff>
      <xdr:row>4</xdr:row>
      <xdr:rowOff>228600</xdr:rowOff>
    </xdr:from>
    <xdr:to>
      <xdr:col>14</xdr:col>
      <xdr:colOff>171450</xdr:colOff>
      <xdr:row>4</xdr:row>
      <xdr:rowOff>590550</xdr:rowOff>
    </xdr:to>
    <xdr:cxnSp macro="">
      <xdr:nvCxnSpPr>
        <xdr:cNvPr id="4" name="Rechte verbindingslijn met pijl 3"/>
        <xdr:cNvCxnSpPr/>
      </xdr:nvCxnSpPr>
      <xdr:spPr>
        <a:xfrm>
          <a:off x="8277225" y="609600"/>
          <a:ext cx="9525" cy="361950"/>
        </a:xfrm>
        <a:prstGeom prst="straightConnector1">
          <a:avLst/>
        </a:prstGeom>
        <a:ln w="698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hyperlink" Target="http://217.170.53.73/duflow/download/03-Zuurstof.pdf" TargetMode="External"/><Relationship Id="rId1" Type="http://schemas.openxmlformats.org/officeDocument/2006/relationships/hyperlink" Target="https://content.oss.deltares.nl/delft3d/manuals/D-Water_Quality_Processes_Technical_Reference_Manual.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tabColor rgb="FFFFFFCC"/>
    <pageSetUpPr fitToPage="1"/>
  </sheetPr>
  <dimension ref="A1:Y109"/>
  <sheetViews>
    <sheetView tabSelected="1" zoomScale="85" zoomScaleNormal="85" workbookViewId="0">
      <selection activeCell="A5" sqref="A5"/>
    </sheetView>
  </sheetViews>
  <sheetFormatPr defaultColWidth="9.140625" defaultRowHeight="15" customHeight="1" x14ac:dyDescent="0.35"/>
  <cols>
    <col min="1" max="1" width="2.28515625" style="71" customWidth="1"/>
    <col min="2" max="3" width="2.28515625" style="360" customWidth="1"/>
    <col min="4" max="4" width="38.5703125" style="72" customWidth="1"/>
    <col min="5" max="5" width="16" style="73" customWidth="1"/>
    <col min="6" max="6" width="35.42578125" style="74" customWidth="1"/>
    <col min="7" max="10" width="6.5703125" style="75" customWidth="1"/>
    <col min="11" max="22" width="10.42578125" style="73" customWidth="1"/>
    <col min="23" max="23" width="3.28515625" style="72" customWidth="1"/>
    <col min="24" max="24" width="9.140625" style="72"/>
    <col min="25" max="25" width="9.140625" style="519"/>
    <col min="26" max="16384" width="9.140625" style="72"/>
  </cols>
  <sheetData>
    <row r="1" spans="1:25" ht="28.5" x14ac:dyDescent="0.45">
      <c r="A1" s="453" t="s">
        <v>406</v>
      </c>
      <c r="B1" s="356"/>
      <c r="C1" s="356"/>
      <c r="D1" s="54"/>
      <c r="E1" s="55"/>
      <c r="F1" s="56"/>
      <c r="G1" s="76"/>
      <c r="H1" s="76"/>
      <c r="I1" s="76"/>
      <c r="J1" s="76"/>
      <c r="K1" s="55"/>
      <c r="L1" s="55"/>
      <c r="M1" s="55"/>
      <c r="N1" s="55"/>
      <c r="O1" s="55"/>
      <c r="P1" s="55"/>
      <c r="Q1" s="55"/>
      <c r="R1" s="55"/>
      <c r="S1" s="55"/>
      <c r="T1" s="55"/>
      <c r="U1" s="55"/>
      <c r="V1" s="55"/>
      <c r="W1" s="58"/>
    </row>
    <row r="2" spans="1:25" ht="5.25" customHeight="1" thickBot="1" x14ac:dyDescent="0.4">
      <c r="A2" s="59"/>
      <c r="B2" s="357"/>
      <c r="C2" s="357"/>
      <c r="D2" s="15"/>
      <c r="E2" s="6"/>
      <c r="F2" s="7"/>
      <c r="G2" s="13"/>
      <c r="H2" s="13"/>
      <c r="I2" s="13"/>
      <c r="J2" s="13"/>
      <c r="K2" s="6"/>
      <c r="L2" s="6"/>
      <c r="M2" s="6"/>
      <c r="N2" s="6"/>
      <c r="O2" s="6"/>
      <c r="P2" s="6"/>
      <c r="Q2" s="6"/>
      <c r="R2" s="6"/>
      <c r="S2" s="6"/>
      <c r="T2" s="6"/>
      <c r="U2" s="6"/>
      <c r="V2" s="6"/>
      <c r="W2" s="62"/>
    </row>
    <row r="3" spans="1:25" ht="4.5" customHeight="1" x14ac:dyDescent="0.35">
      <c r="A3" s="53"/>
      <c r="B3" s="356"/>
      <c r="C3" s="356"/>
      <c r="D3" s="54"/>
      <c r="E3" s="55"/>
      <c r="F3" s="56"/>
      <c r="G3" s="76"/>
      <c r="H3" s="76"/>
      <c r="I3" s="76"/>
      <c r="J3" s="76"/>
      <c r="K3" s="55"/>
      <c r="L3" s="55"/>
      <c r="M3" s="55"/>
      <c r="N3" s="55"/>
      <c r="O3" s="55"/>
      <c r="P3" s="55"/>
      <c r="Q3" s="55"/>
      <c r="R3" s="55"/>
      <c r="S3" s="55"/>
      <c r="T3" s="55"/>
      <c r="U3" s="55"/>
      <c r="V3" s="55"/>
      <c r="W3" s="58"/>
    </row>
    <row r="4" spans="1:25" ht="15" customHeight="1" thickBot="1" x14ac:dyDescent="0.4">
      <c r="A4" s="361" t="s">
        <v>82</v>
      </c>
      <c r="B4" s="357"/>
      <c r="C4" s="357"/>
      <c r="D4" s="15"/>
      <c r="E4" s="10"/>
      <c r="F4" s="7"/>
      <c r="G4" s="13"/>
      <c r="H4" s="13"/>
      <c r="I4" s="13"/>
      <c r="J4" s="13"/>
      <c r="K4" s="10" t="s">
        <v>408</v>
      </c>
      <c r="L4" s="6"/>
      <c r="M4" s="6"/>
      <c r="N4" s="6"/>
      <c r="O4" s="6"/>
      <c r="P4" s="6"/>
      <c r="Q4" s="6"/>
      <c r="R4" s="6"/>
      <c r="S4" s="6"/>
      <c r="T4" s="6"/>
      <c r="U4" s="6"/>
      <c r="V4" s="6"/>
      <c r="W4" s="62"/>
    </row>
    <row r="5" spans="1:25" ht="101.25" customHeight="1" x14ac:dyDescent="0.35">
      <c r="A5" s="361"/>
      <c r="B5" s="357"/>
      <c r="C5" s="357"/>
      <c r="D5" s="15"/>
      <c r="E5" s="10"/>
      <c r="F5" s="7"/>
      <c r="G5" s="13"/>
      <c r="H5" s="13"/>
      <c r="I5" s="13"/>
      <c r="J5" s="13"/>
      <c r="K5" s="479" t="s">
        <v>451</v>
      </c>
      <c r="L5" s="480" t="s">
        <v>452</v>
      </c>
      <c r="M5" s="480" t="s">
        <v>453</v>
      </c>
      <c r="N5" s="480" t="s">
        <v>442</v>
      </c>
      <c r="O5" s="480" t="s">
        <v>443</v>
      </c>
      <c r="P5" s="480" t="s">
        <v>444</v>
      </c>
      <c r="Q5" s="480" t="s">
        <v>445</v>
      </c>
      <c r="R5" s="480" t="s">
        <v>446</v>
      </c>
      <c r="S5" s="480" t="s">
        <v>447</v>
      </c>
      <c r="T5" s="480" t="s">
        <v>448</v>
      </c>
      <c r="U5" s="480" t="s">
        <v>449</v>
      </c>
      <c r="V5" s="481" t="s">
        <v>450</v>
      </c>
      <c r="W5" s="62"/>
    </row>
    <row r="6" spans="1:25" s="445" customFormat="1" ht="16.5" customHeight="1" thickBot="1" x14ac:dyDescent="0.3">
      <c r="A6" s="362"/>
      <c r="B6" s="358"/>
      <c r="C6" s="358"/>
      <c r="D6" s="79"/>
      <c r="E6" s="80"/>
      <c r="F6" s="81"/>
      <c r="G6" s="82" t="s">
        <v>413</v>
      </c>
      <c r="H6" s="82"/>
      <c r="I6" s="82"/>
      <c r="J6" s="82"/>
      <c r="K6" s="354">
        <v>5</v>
      </c>
      <c r="L6" s="84">
        <v>5</v>
      </c>
      <c r="M6" s="84">
        <v>5</v>
      </c>
      <c r="N6" s="84">
        <v>5</v>
      </c>
      <c r="O6" s="84">
        <v>5</v>
      </c>
      <c r="P6" s="84">
        <v>5</v>
      </c>
      <c r="Q6" s="84">
        <v>5</v>
      </c>
      <c r="R6" s="84">
        <v>5</v>
      </c>
      <c r="S6" s="84">
        <v>5</v>
      </c>
      <c r="T6" s="84">
        <v>5</v>
      </c>
      <c r="U6" s="84">
        <v>5</v>
      </c>
      <c r="V6" s="355">
        <v>5</v>
      </c>
      <c r="W6" s="83"/>
      <c r="Y6" s="520"/>
    </row>
    <row r="7" spans="1:25" ht="15.75" customHeight="1" x14ac:dyDescent="0.35">
      <c r="A7" s="361"/>
      <c r="B7" s="357"/>
      <c r="C7" s="357"/>
      <c r="D7" s="15"/>
      <c r="E7" s="11"/>
      <c r="F7" s="7"/>
      <c r="G7" s="77"/>
      <c r="H7" s="77"/>
      <c r="I7" s="77"/>
      <c r="J7" s="77"/>
      <c r="K7" s="17"/>
      <c r="L7" s="17"/>
      <c r="M7" s="17"/>
      <c r="N7" s="17"/>
      <c r="O7" s="17"/>
      <c r="P7" s="17"/>
      <c r="Q7" s="17"/>
      <c r="R7" s="17"/>
      <c r="S7" s="17"/>
      <c r="T7" s="17"/>
      <c r="U7" s="17"/>
      <c r="V7" s="17"/>
      <c r="W7" s="62"/>
    </row>
    <row r="8" spans="1:25" ht="21.75" thickBot="1" x14ac:dyDescent="0.4">
      <c r="A8" s="361" t="s">
        <v>161</v>
      </c>
      <c r="B8" s="357"/>
      <c r="C8" s="357"/>
      <c r="D8" s="15"/>
      <c r="E8" s="6"/>
      <c r="F8" s="7"/>
      <c r="G8" s="13"/>
      <c r="H8" s="13"/>
      <c r="I8" s="13"/>
      <c r="J8" s="13"/>
      <c r="K8" s="6"/>
      <c r="L8" s="6"/>
      <c r="M8" s="6"/>
      <c r="N8" s="6"/>
      <c r="O8" s="6"/>
      <c r="P8" s="6"/>
      <c r="Q8" s="6"/>
      <c r="R8" s="6"/>
      <c r="S8" s="6"/>
      <c r="T8" s="6"/>
      <c r="U8" s="6"/>
      <c r="V8" s="6"/>
      <c r="W8" s="62"/>
    </row>
    <row r="9" spans="1:25" ht="21" x14ac:dyDescent="0.35">
      <c r="A9" s="363"/>
      <c r="B9" s="356" t="s">
        <v>0</v>
      </c>
      <c r="C9" s="356"/>
      <c r="D9" s="54"/>
      <c r="E9" s="55"/>
      <c r="F9" s="56"/>
      <c r="G9" s="57"/>
      <c r="H9" s="57"/>
      <c r="I9" s="57"/>
      <c r="J9" s="57"/>
      <c r="K9" s="55"/>
      <c r="L9" s="55"/>
      <c r="M9" s="55"/>
      <c r="N9" s="55"/>
      <c r="O9" s="55"/>
      <c r="P9" s="55"/>
      <c r="Q9" s="55"/>
      <c r="R9" s="55"/>
      <c r="S9" s="55"/>
      <c r="T9" s="55"/>
      <c r="U9" s="55"/>
      <c r="V9" s="55"/>
      <c r="W9" s="58"/>
    </row>
    <row r="10" spans="1:25" ht="21.75" thickBot="1" x14ac:dyDescent="0.4">
      <c r="A10" s="361"/>
      <c r="B10" s="357"/>
      <c r="C10" s="357" t="s">
        <v>314</v>
      </c>
      <c r="D10" s="15"/>
      <c r="E10" s="6"/>
      <c r="F10" s="7"/>
      <c r="G10" s="32"/>
      <c r="H10" s="32"/>
      <c r="I10" s="32"/>
      <c r="J10" s="32"/>
      <c r="K10" s="6"/>
      <c r="L10" s="6"/>
      <c r="M10" s="6"/>
      <c r="N10" s="6"/>
      <c r="O10" s="6"/>
      <c r="P10" s="6"/>
      <c r="Q10" s="6"/>
      <c r="R10" s="6"/>
      <c r="S10" s="6"/>
      <c r="T10" s="6"/>
      <c r="U10" s="6"/>
      <c r="V10" s="6"/>
      <c r="W10" s="62"/>
    </row>
    <row r="11" spans="1:25" ht="154.5" customHeight="1" x14ac:dyDescent="0.35">
      <c r="A11" s="361"/>
      <c r="B11" s="357"/>
      <c r="C11" s="488"/>
      <c r="D11" s="469" t="s">
        <v>54</v>
      </c>
      <c r="E11" s="470" t="s">
        <v>6</v>
      </c>
      <c r="F11" s="471" t="s">
        <v>16</v>
      </c>
      <c r="G11" s="518" t="str">
        <f>kentallen!K3</f>
        <v>BZV-snel afbreekbare fractie in gO2 per eenheid per dag</v>
      </c>
      <c r="H11" s="518" t="str">
        <f>kentallen!L3</f>
        <v>NH4 in gN per eenheid per dag</v>
      </c>
      <c r="I11" s="518" t="str">
        <f>kentallen!M3</f>
        <v>BZV-langzaam afbreekbare fractie in gO2 per eenheid per dag</v>
      </c>
      <c r="J11" s="518" t="str">
        <f>kentallen!N3</f>
        <v>sedimentatiesnelheid langzaam afbreekbare fractie (m/d)</v>
      </c>
      <c r="K11" s="477" t="str">
        <f t="shared" ref="K11:V11" si="0">K5</f>
        <v>Voorbeeld</v>
      </c>
      <c r="L11" s="477" t="str">
        <f t="shared" si="0"/>
        <v>water_2</v>
      </c>
      <c r="M11" s="477" t="str">
        <f t="shared" si="0"/>
        <v>water_3</v>
      </c>
      <c r="N11" s="477" t="str">
        <f t="shared" si="0"/>
        <v>water_4</v>
      </c>
      <c r="O11" s="477" t="str">
        <f t="shared" si="0"/>
        <v>water_5</v>
      </c>
      <c r="P11" s="477" t="str">
        <f t="shared" si="0"/>
        <v>water_6</v>
      </c>
      <c r="Q11" s="477" t="str">
        <f t="shared" si="0"/>
        <v>water_7</v>
      </c>
      <c r="R11" s="477" t="str">
        <f t="shared" si="0"/>
        <v>water_8</v>
      </c>
      <c r="S11" s="477" t="str">
        <f t="shared" si="0"/>
        <v>water_9</v>
      </c>
      <c r="T11" s="477" t="str">
        <f t="shared" si="0"/>
        <v>water_10</v>
      </c>
      <c r="U11" s="477" t="str">
        <f t="shared" si="0"/>
        <v>water_11</v>
      </c>
      <c r="V11" s="478" t="str">
        <f t="shared" si="0"/>
        <v>water_12</v>
      </c>
      <c r="W11" s="62"/>
    </row>
    <row r="12" spans="1:25" ht="17.25" customHeight="1" x14ac:dyDescent="0.35">
      <c r="A12" s="361"/>
      <c r="B12" s="357"/>
      <c r="C12" s="357"/>
      <c r="D12" s="729" t="s">
        <v>315</v>
      </c>
      <c r="E12" s="3" t="s">
        <v>320</v>
      </c>
      <c r="F12" s="515" t="s">
        <v>409</v>
      </c>
      <c r="G12" s="12">
        <f>kentallen!K30</f>
        <v>10</v>
      </c>
      <c r="H12" s="258">
        <f>kentallen!L30</f>
        <v>0.8</v>
      </c>
      <c r="I12" s="539" t="s">
        <v>394</v>
      </c>
      <c r="J12" s="539" t="s">
        <v>394</v>
      </c>
      <c r="K12" s="517">
        <v>100</v>
      </c>
      <c r="L12" s="19"/>
      <c r="M12" s="19"/>
      <c r="N12" s="19"/>
      <c r="O12" s="19"/>
      <c r="P12" s="19"/>
      <c r="Q12" s="19"/>
      <c r="R12" s="19"/>
      <c r="S12" s="19"/>
      <c r="T12" s="19"/>
      <c r="U12" s="19"/>
      <c r="V12" s="282"/>
      <c r="W12" s="62"/>
    </row>
    <row r="13" spans="1:25" ht="17.25" customHeight="1" x14ac:dyDescent="0.35">
      <c r="A13" s="361"/>
      <c r="B13" s="357"/>
      <c r="C13" s="357"/>
      <c r="D13" s="730"/>
      <c r="E13" s="3" t="s">
        <v>319</v>
      </c>
      <c r="F13" s="515" t="s">
        <v>410</v>
      </c>
      <c r="G13" s="538" t="s">
        <v>394</v>
      </c>
      <c r="H13" s="539" t="s">
        <v>394</v>
      </c>
      <c r="I13" s="258">
        <f>kentallen!M30</f>
        <v>0.35616438356164382</v>
      </c>
      <c r="J13" s="12">
        <f>kentallen!N30</f>
        <v>30</v>
      </c>
      <c r="K13" s="517">
        <v>500</v>
      </c>
      <c r="L13" s="19"/>
      <c r="M13" s="19"/>
      <c r="N13" s="19"/>
      <c r="O13" s="19"/>
      <c r="P13" s="19"/>
      <c r="Q13" s="19"/>
      <c r="R13" s="19"/>
      <c r="S13" s="19"/>
      <c r="T13" s="19"/>
      <c r="U13" s="19"/>
      <c r="V13" s="282"/>
      <c r="W13" s="62"/>
    </row>
    <row r="14" spans="1:25" ht="17.25" customHeight="1" x14ac:dyDescent="0.35">
      <c r="A14" s="361"/>
      <c r="B14" s="357"/>
      <c r="C14" s="357"/>
      <c r="D14" s="729" t="s">
        <v>316</v>
      </c>
      <c r="E14" s="3" t="s">
        <v>320</v>
      </c>
      <c r="F14" s="515" t="s">
        <v>409</v>
      </c>
      <c r="G14" s="12">
        <f>kentallen!K31</f>
        <v>5.5</v>
      </c>
      <c r="H14" s="258">
        <f>kentallen!L31</f>
        <v>0.8</v>
      </c>
      <c r="I14" s="539" t="s">
        <v>394</v>
      </c>
      <c r="J14" s="539" t="s">
        <v>394</v>
      </c>
      <c r="K14" s="517"/>
      <c r="L14" s="19"/>
      <c r="M14" s="19"/>
      <c r="N14" s="19"/>
      <c r="O14" s="19"/>
      <c r="P14" s="19"/>
      <c r="Q14" s="19"/>
      <c r="R14" s="19"/>
      <c r="S14" s="19"/>
      <c r="T14" s="19"/>
      <c r="U14" s="19"/>
      <c r="V14" s="282"/>
      <c r="W14" s="62"/>
    </row>
    <row r="15" spans="1:25" ht="17.25" customHeight="1" x14ac:dyDescent="0.35">
      <c r="A15" s="361"/>
      <c r="B15" s="357"/>
      <c r="C15" s="357"/>
      <c r="D15" s="730"/>
      <c r="E15" s="3" t="s">
        <v>319</v>
      </c>
      <c r="F15" s="515" t="s">
        <v>410</v>
      </c>
      <c r="G15" s="539" t="s">
        <v>394</v>
      </c>
      <c r="H15" s="539" t="s">
        <v>394</v>
      </c>
      <c r="I15" s="258">
        <f>kentallen!M31</f>
        <v>0.19589041095890411</v>
      </c>
      <c r="J15" s="12">
        <f>kentallen!N31</f>
        <v>30</v>
      </c>
      <c r="K15" s="517"/>
      <c r="L15" s="19"/>
      <c r="M15" s="19"/>
      <c r="N15" s="19"/>
      <c r="O15" s="19"/>
      <c r="P15" s="19"/>
      <c r="Q15" s="19"/>
      <c r="R15" s="19"/>
      <c r="S15" s="19"/>
      <c r="T15" s="19"/>
      <c r="U15" s="19"/>
      <c r="V15" s="282"/>
      <c r="W15" s="62"/>
    </row>
    <row r="16" spans="1:25" ht="17.25" customHeight="1" x14ac:dyDescent="0.35">
      <c r="A16" s="361"/>
      <c r="B16" s="357"/>
      <c r="C16" s="357"/>
      <c r="D16" s="729" t="s">
        <v>317</v>
      </c>
      <c r="E16" s="3" t="s">
        <v>320</v>
      </c>
      <c r="F16" s="515" t="s">
        <v>409</v>
      </c>
      <c r="G16" s="12">
        <f>kentallen!K32</f>
        <v>44</v>
      </c>
      <c r="H16" s="258">
        <f>kentallen!L32</f>
        <v>6</v>
      </c>
      <c r="I16" s="539" t="s">
        <v>394</v>
      </c>
      <c r="J16" s="539" t="s">
        <v>394</v>
      </c>
      <c r="K16" s="517"/>
      <c r="L16" s="19"/>
      <c r="M16" s="19"/>
      <c r="N16" s="19"/>
      <c r="O16" s="19"/>
      <c r="P16" s="19"/>
      <c r="Q16" s="19"/>
      <c r="R16" s="19"/>
      <c r="S16" s="19"/>
      <c r="T16" s="19"/>
      <c r="U16" s="19"/>
      <c r="V16" s="282"/>
      <c r="W16" s="62"/>
    </row>
    <row r="17" spans="1:25" ht="17.25" customHeight="1" x14ac:dyDescent="0.35">
      <c r="A17" s="361"/>
      <c r="B17" s="357"/>
      <c r="C17" s="357"/>
      <c r="D17" s="730"/>
      <c r="E17" s="3" t="s">
        <v>319</v>
      </c>
      <c r="F17" s="515" t="s">
        <v>410</v>
      </c>
      <c r="G17" s="539" t="s">
        <v>394</v>
      </c>
      <c r="H17" s="539" t="s">
        <v>394</v>
      </c>
      <c r="I17" s="258">
        <f>kentallen!M32</f>
        <v>1.0410958904109588</v>
      </c>
      <c r="J17" s="12">
        <f>kentallen!N32</f>
        <v>30</v>
      </c>
      <c r="K17" s="517"/>
      <c r="L17" s="19"/>
      <c r="M17" s="19"/>
      <c r="N17" s="19"/>
      <c r="O17" s="19"/>
      <c r="P17" s="19"/>
      <c r="Q17" s="19"/>
      <c r="R17" s="19"/>
      <c r="S17" s="19"/>
      <c r="T17" s="19"/>
      <c r="U17" s="19"/>
      <c r="V17" s="282"/>
      <c r="W17" s="62"/>
    </row>
    <row r="18" spans="1:25" ht="8.25" customHeight="1" x14ac:dyDescent="0.35">
      <c r="A18" s="361"/>
      <c r="B18" s="357"/>
      <c r="C18" s="357"/>
      <c r="D18" s="473"/>
      <c r="E18" s="6"/>
      <c r="F18" s="7"/>
      <c r="G18" s="16"/>
      <c r="H18" s="475"/>
      <c r="I18" s="16"/>
      <c r="J18" s="16"/>
      <c r="K18" s="89"/>
      <c r="L18" s="89"/>
      <c r="M18" s="89"/>
      <c r="N18" s="89"/>
      <c r="O18" s="89"/>
      <c r="P18" s="89"/>
      <c r="Q18" s="89"/>
      <c r="R18" s="89"/>
      <c r="S18" s="89"/>
      <c r="T18" s="89"/>
      <c r="U18" s="89"/>
      <c r="V18" s="476"/>
      <c r="W18" s="62"/>
    </row>
    <row r="19" spans="1:25" s="446" customFormat="1" ht="17.25" customHeight="1" x14ac:dyDescent="0.35">
      <c r="A19" s="361"/>
      <c r="B19" s="357"/>
      <c r="C19" s="488"/>
      <c r="D19" s="472" t="s">
        <v>55</v>
      </c>
      <c r="E19" s="6"/>
      <c r="F19" s="7"/>
      <c r="G19" s="16"/>
      <c r="H19" s="16"/>
      <c r="I19" s="16"/>
      <c r="J19" s="16"/>
      <c r="K19" s="17"/>
      <c r="L19" s="17"/>
      <c r="M19" s="17"/>
      <c r="N19" s="17"/>
      <c r="O19" s="17"/>
      <c r="P19" s="17"/>
      <c r="Q19" s="18"/>
      <c r="R19" s="18"/>
      <c r="S19" s="18"/>
      <c r="T19" s="18"/>
      <c r="U19" s="18"/>
      <c r="V19" s="467"/>
      <c r="W19" s="62"/>
      <c r="Y19" s="519"/>
    </row>
    <row r="20" spans="1:25" ht="17.25" customHeight="1" x14ac:dyDescent="0.35">
      <c r="A20" s="361"/>
      <c r="B20" s="357"/>
      <c r="C20" s="357"/>
      <c r="D20" s="291" t="s">
        <v>49</v>
      </c>
      <c r="E20" s="3" t="s">
        <v>81</v>
      </c>
      <c r="F20" s="515" t="s">
        <v>20</v>
      </c>
      <c r="G20" s="12">
        <f>kentallen!K34</f>
        <v>4</v>
      </c>
      <c r="H20" s="258">
        <f>kentallen!L34</f>
        <v>1</v>
      </c>
      <c r="I20" s="12">
        <f>kentallen!M34</f>
        <v>6.1999999999999993</v>
      </c>
      <c r="J20" s="12">
        <f>kentallen!N34</f>
        <v>1</v>
      </c>
      <c r="K20" s="517"/>
      <c r="L20" s="19"/>
      <c r="M20" s="19"/>
      <c r="N20" s="19"/>
      <c r="O20" s="19"/>
      <c r="P20" s="19"/>
      <c r="Q20" s="19"/>
      <c r="R20" s="19"/>
      <c r="S20" s="19"/>
      <c r="T20" s="19"/>
      <c r="U20" s="19"/>
      <c r="V20" s="282"/>
      <c r="W20" s="62"/>
    </row>
    <row r="21" spans="1:25" ht="17.25" customHeight="1" x14ac:dyDescent="0.35">
      <c r="A21" s="361"/>
      <c r="B21" s="357"/>
      <c r="C21" s="357"/>
      <c r="D21" s="291" t="s">
        <v>53</v>
      </c>
      <c r="E21" s="3" t="s">
        <v>81</v>
      </c>
      <c r="F21" s="515" t="s">
        <v>20</v>
      </c>
      <c r="G21" s="12">
        <f>kentallen!K35</f>
        <v>4</v>
      </c>
      <c r="H21" s="258">
        <f>kentallen!L35</f>
        <v>1</v>
      </c>
      <c r="I21" s="12">
        <f>kentallen!M35</f>
        <v>33</v>
      </c>
      <c r="J21" s="12">
        <f>kentallen!N35</f>
        <v>1</v>
      </c>
      <c r="K21" s="517"/>
      <c r="L21" s="19"/>
      <c r="M21" s="19"/>
      <c r="N21" s="19"/>
      <c r="O21" s="19"/>
      <c r="P21" s="19"/>
      <c r="Q21" s="19"/>
      <c r="R21" s="19"/>
      <c r="S21" s="19"/>
      <c r="T21" s="19"/>
      <c r="U21" s="19"/>
      <c r="V21" s="282"/>
      <c r="W21" s="62"/>
    </row>
    <row r="22" spans="1:25" ht="17.25" customHeight="1" x14ac:dyDescent="0.35">
      <c r="A22" s="361"/>
      <c r="B22" s="357"/>
      <c r="C22" s="357"/>
      <c r="D22" s="291" t="s">
        <v>3</v>
      </c>
      <c r="E22" s="3" t="s">
        <v>7</v>
      </c>
      <c r="F22" s="515" t="s">
        <v>20</v>
      </c>
      <c r="G22" s="12">
        <f>kentallen!K36</f>
        <v>225</v>
      </c>
      <c r="H22" s="258">
        <f>kentallen!L36</f>
        <v>15</v>
      </c>
      <c r="I22" s="12">
        <f>kentallen!M36</f>
        <v>150</v>
      </c>
      <c r="J22" s="12">
        <f>kentallen!N36</f>
        <v>1</v>
      </c>
      <c r="K22" s="517"/>
      <c r="L22" s="19"/>
      <c r="M22" s="19"/>
      <c r="N22" s="19"/>
      <c r="O22" s="19"/>
      <c r="P22" s="19"/>
      <c r="Q22" s="19"/>
      <c r="R22" s="19"/>
      <c r="S22" s="19"/>
      <c r="T22" s="19"/>
      <c r="U22" s="19"/>
      <c r="V22" s="282"/>
      <c r="W22" s="62"/>
    </row>
    <row r="23" spans="1:25" ht="17.25" customHeight="1" x14ac:dyDescent="0.35">
      <c r="A23" s="361"/>
      <c r="B23" s="357"/>
      <c r="C23" s="357"/>
      <c r="D23" s="291" t="s">
        <v>1</v>
      </c>
      <c r="E23" s="3" t="s">
        <v>7</v>
      </c>
      <c r="F23" s="515" t="s">
        <v>20</v>
      </c>
      <c r="G23" s="12">
        <f>kentallen!K37</f>
        <v>11.5</v>
      </c>
      <c r="H23" s="12">
        <f>kentallen!L37</f>
        <v>7.5</v>
      </c>
      <c r="I23" s="12">
        <f>kentallen!M37</f>
        <v>53.5</v>
      </c>
      <c r="J23" s="12">
        <f>kentallen!N37</f>
        <v>1</v>
      </c>
      <c r="K23" s="517">
        <v>2</v>
      </c>
      <c r="L23" s="19"/>
      <c r="M23" s="19"/>
      <c r="N23" s="19"/>
      <c r="O23" s="19"/>
      <c r="P23" s="19"/>
      <c r="Q23" s="19"/>
      <c r="R23" s="19"/>
      <c r="S23" s="19"/>
      <c r="T23" s="19"/>
      <c r="U23" s="19"/>
      <c r="V23" s="282"/>
      <c r="W23" s="62"/>
    </row>
    <row r="24" spans="1:25" ht="17.25" customHeight="1" x14ac:dyDescent="0.35">
      <c r="A24" s="361"/>
      <c r="B24" s="357"/>
      <c r="C24" s="357"/>
      <c r="D24" s="291" t="s">
        <v>62</v>
      </c>
      <c r="E24" s="3" t="s">
        <v>64</v>
      </c>
      <c r="F24" s="515" t="s">
        <v>20</v>
      </c>
      <c r="G24" s="258">
        <f>kentallen!K38</f>
        <v>0</v>
      </c>
      <c r="H24" s="12">
        <f>kentallen!L38</f>
        <v>0</v>
      </c>
      <c r="I24" s="258">
        <f>kentallen!M38</f>
        <v>0.41099999999999998</v>
      </c>
      <c r="J24" s="12">
        <f>kentallen!N38</f>
        <v>100</v>
      </c>
      <c r="K24" s="517">
        <v>1000</v>
      </c>
      <c r="L24" s="19"/>
      <c r="M24" s="19"/>
      <c r="N24" s="19"/>
      <c r="O24" s="19"/>
      <c r="P24" s="19"/>
      <c r="Q24" s="19"/>
      <c r="R24" s="19"/>
      <c r="S24" s="19"/>
      <c r="T24" s="19"/>
      <c r="U24" s="19"/>
      <c r="V24" s="282"/>
      <c r="W24" s="62"/>
    </row>
    <row r="25" spans="1:25" ht="17.25" customHeight="1" x14ac:dyDescent="0.35">
      <c r="A25" s="361"/>
      <c r="B25" s="357"/>
      <c r="C25" s="357"/>
      <c r="D25" s="291" t="s">
        <v>63</v>
      </c>
      <c r="E25" s="3" t="s">
        <v>64</v>
      </c>
      <c r="F25" s="515" t="s">
        <v>20</v>
      </c>
      <c r="G25" s="258">
        <f>kentallen!K39</f>
        <v>0</v>
      </c>
      <c r="H25" s="12">
        <f>kentallen!L39</f>
        <v>0</v>
      </c>
      <c r="I25" s="258">
        <f>kentallen!M39</f>
        <v>0.13700000000000001</v>
      </c>
      <c r="J25" s="12">
        <f>kentallen!N39</f>
        <v>100</v>
      </c>
      <c r="K25" s="517"/>
      <c r="L25" s="19"/>
      <c r="M25" s="19"/>
      <c r="N25" s="19"/>
      <c r="O25" s="19"/>
      <c r="P25" s="19"/>
      <c r="Q25" s="19"/>
      <c r="R25" s="19"/>
      <c r="S25" s="19"/>
      <c r="T25" s="19"/>
      <c r="U25" s="19"/>
      <c r="V25" s="282"/>
      <c r="W25" s="62"/>
    </row>
    <row r="26" spans="1:25" ht="17.25" customHeight="1" x14ac:dyDescent="0.35">
      <c r="A26" s="361"/>
      <c r="B26" s="357"/>
      <c r="C26" s="357"/>
      <c r="D26" s="735" t="s">
        <v>2</v>
      </c>
      <c r="E26" s="736" t="s">
        <v>66</v>
      </c>
      <c r="F26" s="515" t="s">
        <v>74</v>
      </c>
      <c r="G26" s="46">
        <f>kentallen!K40</f>
        <v>4.0000000000000001E-3</v>
      </c>
      <c r="H26" s="12">
        <f>kentallen!L40</f>
        <v>0</v>
      </c>
      <c r="I26" s="46">
        <f>kentallen!M40</f>
        <v>4.0000000000000001E-3</v>
      </c>
      <c r="J26" s="12">
        <f>kentallen!N40</f>
        <v>1</v>
      </c>
      <c r="K26" s="517"/>
      <c r="L26" s="19"/>
      <c r="M26" s="19"/>
      <c r="N26" s="19"/>
      <c r="O26" s="19"/>
      <c r="P26" s="19"/>
      <c r="Q26" s="19"/>
      <c r="R26" s="19"/>
      <c r="S26" s="19"/>
      <c r="T26" s="19"/>
      <c r="U26" s="19"/>
      <c r="V26" s="282"/>
      <c r="W26" s="62"/>
    </row>
    <row r="27" spans="1:25" ht="17.25" customHeight="1" x14ac:dyDescent="0.35">
      <c r="A27" s="361"/>
      <c r="B27" s="357"/>
      <c r="C27" s="357"/>
      <c r="D27" s="735"/>
      <c r="E27" s="736"/>
      <c r="F27" s="515" t="s">
        <v>75</v>
      </c>
      <c r="G27" s="46">
        <f>kentallen!K41</f>
        <v>2.5000000000000001E-2</v>
      </c>
      <c r="H27" s="12">
        <f>kentallen!L41</f>
        <v>0</v>
      </c>
      <c r="I27" s="46">
        <f>kentallen!M41</f>
        <v>2.5000000000000001E-2</v>
      </c>
      <c r="J27" s="12">
        <f>kentallen!N41</f>
        <v>1</v>
      </c>
      <c r="K27" s="517"/>
      <c r="L27" s="19"/>
      <c r="M27" s="19"/>
      <c r="N27" s="19"/>
      <c r="O27" s="19"/>
      <c r="P27" s="19"/>
      <c r="Q27" s="19"/>
      <c r="R27" s="19"/>
      <c r="S27" s="19"/>
      <c r="T27" s="19"/>
      <c r="U27" s="19"/>
      <c r="V27" s="282"/>
      <c r="W27" s="62"/>
    </row>
    <row r="28" spans="1:25" ht="17.25" customHeight="1" x14ac:dyDescent="0.35">
      <c r="A28" s="361"/>
      <c r="B28" s="357"/>
      <c r="C28" s="357"/>
      <c r="D28" s="735"/>
      <c r="E28" s="736"/>
      <c r="F28" s="516" t="s">
        <v>76</v>
      </c>
      <c r="G28" s="46">
        <f>kentallen!K42</f>
        <v>6.3E-2</v>
      </c>
      <c r="H28" s="12">
        <f>kentallen!L42</f>
        <v>0</v>
      </c>
      <c r="I28" s="46">
        <f>kentallen!M42</f>
        <v>6.3E-2</v>
      </c>
      <c r="J28" s="12">
        <f>kentallen!N42</f>
        <v>1</v>
      </c>
      <c r="K28" s="517"/>
      <c r="L28" s="19"/>
      <c r="M28" s="19"/>
      <c r="N28" s="19"/>
      <c r="O28" s="19"/>
      <c r="P28" s="19"/>
      <c r="Q28" s="19"/>
      <c r="R28" s="19"/>
      <c r="S28" s="19"/>
      <c r="T28" s="19"/>
      <c r="U28" s="19"/>
      <c r="V28" s="282"/>
      <c r="W28" s="62"/>
    </row>
    <row r="29" spans="1:25" ht="17.25" customHeight="1" x14ac:dyDescent="0.35">
      <c r="A29" s="361"/>
      <c r="B29" s="357"/>
      <c r="C29" s="357"/>
      <c r="D29" s="735" t="s">
        <v>4</v>
      </c>
      <c r="E29" s="737" t="s">
        <v>68</v>
      </c>
      <c r="F29" s="515" t="s">
        <v>74</v>
      </c>
      <c r="G29" s="12">
        <f>kentallen!K43</f>
        <v>15</v>
      </c>
      <c r="H29" s="12">
        <f>kentallen!L43</f>
        <v>0</v>
      </c>
      <c r="I29" s="12">
        <f>kentallen!M43</f>
        <v>30</v>
      </c>
      <c r="J29" s="12">
        <f>kentallen!N43</f>
        <v>100</v>
      </c>
      <c r="K29" s="517"/>
      <c r="L29" s="19"/>
      <c r="M29" s="19"/>
      <c r="N29" s="19"/>
      <c r="O29" s="19"/>
      <c r="P29" s="19"/>
      <c r="Q29" s="19"/>
      <c r="R29" s="19"/>
      <c r="S29" s="19"/>
      <c r="T29" s="19"/>
      <c r="U29" s="19"/>
      <c r="V29" s="282"/>
      <c r="W29" s="62"/>
    </row>
    <row r="30" spans="1:25" ht="17.25" customHeight="1" x14ac:dyDescent="0.35">
      <c r="A30" s="361"/>
      <c r="B30" s="357"/>
      <c r="C30" s="357"/>
      <c r="D30" s="735"/>
      <c r="E30" s="737"/>
      <c r="F30" s="515" t="s">
        <v>75</v>
      </c>
      <c r="G30" s="12">
        <f>kentallen!K44</f>
        <v>40</v>
      </c>
      <c r="H30" s="12">
        <f>kentallen!L44</f>
        <v>0</v>
      </c>
      <c r="I30" s="12">
        <f>kentallen!M44</f>
        <v>130</v>
      </c>
      <c r="J30" s="12">
        <f>kentallen!N44</f>
        <v>100</v>
      </c>
      <c r="K30" s="517"/>
      <c r="L30" s="19"/>
      <c r="M30" s="19"/>
      <c r="N30" s="19"/>
      <c r="O30" s="19"/>
      <c r="P30" s="19"/>
      <c r="Q30" s="19"/>
      <c r="R30" s="19"/>
      <c r="S30" s="19"/>
      <c r="T30" s="19"/>
      <c r="U30" s="19"/>
      <c r="V30" s="282"/>
      <c r="W30" s="62"/>
    </row>
    <row r="31" spans="1:25" ht="17.25" customHeight="1" x14ac:dyDescent="0.35">
      <c r="A31" s="361"/>
      <c r="B31" s="357"/>
      <c r="C31" s="357"/>
      <c r="D31" s="735"/>
      <c r="E31" s="737"/>
      <c r="F31" s="516" t="s">
        <v>76</v>
      </c>
      <c r="G31" s="12">
        <f>kentallen!K45</f>
        <v>80</v>
      </c>
      <c r="H31" s="12">
        <f>kentallen!L45</f>
        <v>0</v>
      </c>
      <c r="I31" s="12">
        <f>kentallen!M45</f>
        <v>300</v>
      </c>
      <c r="J31" s="12">
        <f>kentallen!N45</f>
        <v>100</v>
      </c>
      <c r="K31" s="517"/>
      <c r="L31" s="19"/>
      <c r="M31" s="19"/>
      <c r="N31" s="19"/>
      <c r="O31" s="19"/>
      <c r="P31" s="19"/>
      <c r="Q31" s="19"/>
      <c r="R31" s="19"/>
      <c r="S31" s="19"/>
      <c r="T31" s="19"/>
      <c r="U31" s="19"/>
      <c r="V31" s="282"/>
      <c r="W31" s="62"/>
    </row>
    <row r="32" spans="1:25" ht="17.25" customHeight="1" x14ac:dyDescent="0.35">
      <c r="A32" s="361"/>
      <c r="B32" s="357"/>
      <c r="C32" s="357"/>
      <c r="D32" s="291" t="s">
        <v>5</v>
      </c>
      <c r="E32" s="3" t="s">
        <v>73</v>
      </c>
      <c r="F32" s="516" t="s">
        <v>20</v>
      </c>
      <c r="G32" s="12">
        <f>kentallen!K46</f>
        <v>100</v>
      </c>
      <c r="H32" s="12">
        <f>kentallen!L46</f>
        <v>0</v>
      </c>
      <c r="I32" s="12">
        <f>kentallen!M46</f>
        <v>900</v>
      </c>
      <c r="J32" s="12">
        <f>kentallen!N46</f>
        <v>100</v>
      </c>
      <c r="K32" s="517"/>
      <c r="L32" s="19"/>
      <c r="M32" s="19"/>
      <c r="N32" s="19"/>
      <c r="O32" s="19"/>
      <c r="P32" s="19"/>
      <c r="Q32" s="19"/>
      <c r="R32" s="19"/>
      <c r="S32" s="19"/>
      <c r="T32" s="19"/>
      <c r="U32" s="19"/>
      <c r="V32" s="282"/>
      <c r="W32" s="62"/>
    </row>
    <row r="33" spans="1:25" ht="17.25" customHeight="1" x14ac:dyDescent="0.35">
      <c r="A33" s="361"/>
      <c r="B33" s="357"/>
      <c r="C33" s="357"/>
      <c r="D33" s="540" t="s">
        <v>121</v>
      </c>
      <c r="E33" s="736" t="s">
        <v>78</v>
      </c>
      <c r="F33" s="515" t="s">
        <v>74</v>
      </c>
      <c r="G33" s="45">
        <f>kentallen!K47</f>
        <v>1.55E-2</v>
      </c>
      <c r="H33" s="45">
        <f>kentallen!L47</f>
        <v>1.6000000000000001E-3</v>
      </c>
      <c r="I33" s="45">
        <f>kentallen!M47</f>
        <v>1.55E-2</v>
      </c>
      <c r="J33" s="12">
        <f>kentallen!N47</f>
        <v>1</v>
      </c>
      <c r="K33" s="517"/>
      <c r="L33" s="19"/>
      <c r="M33" s="19"/>
      <c r="N33" s="19"/>
      <c r="O33" s="19"/>
      <c r="P33" s="19"/>
      <c r="Q33" s="19"/>
      <c r="R33" s="19"/>
      <c r="S33" s="19"/>
      <c r="T33" s="19"/>
      <c r="U33" s="19"/>
      <c r="V33" s="282"/>
      <c r="W33" s="62"/>
    </row>
    <row r="34" spans="1:25" ht="17.25" customHeight="1" x14ac:dyDescent="0.35">
      <c r="A34" s="361"/>
      <c r="B34" s="357"/>
      <c r="C34" s="357"/>
      <c r="D34" s="738" t="s">
        <v>122</v>
      </c>
      <c r="E34" s="736"/>
      <c r="F34" s="515" t="s">
        <v>75</v>
      </c>
      <c r="G34" s="45">
        <f>kentallen!K48</f>
        <v>3.5499999999999997E-2</v>
      </c>
      <c r="H34" s="45">
        <f>kentallen!L48</f>
        <v>3.8999999999999998E-3</v>
      </c>
      <c r="I34" s="45">
        <f>kentallen!M48</f>
        <v>3.5499999999999997E-2</v>
      </c>
      <c r="J34" s="12">
        <f>kentallen!N48</f>
        <v>1</v>
      </c>
      <c r="K34" s="517"/>
      <c r="L34" s="19"/>
      <c r="M34" s="19"/>
      <c r="N34" s="19"/>
      <c r="O34" s="19"/>
      <c r="P34" s="19"/>
      <c r="Q34" s="19"/>
      <c r="R34" s="19"/>
      <c r="S34" s="19"/>
      <c r="T34" s="19"/>
      <c r="U34" s="19"/>
      <c r="V34" s="282"/>
      <c r="W34" s="62"/>
    </row>
    <row r="35" spans="1:25" ht="17.25" customHeight="1" x14ac:dyDescent="0.35">
      <c r="A35" s="361"/>
      <c r="B35" s="357"/>
      <c r="C35" s="357"/>
      <c r="D35" s="738"/>
      <c r="E35" s="736"/>
      <c r="F35" s="516" t="s">
        <v>76</v>
      </c>
      <c r="G35" s="45">
        <f>kentallen!K49</f>
        <v>7.0999999999999994E-2</v>
      </c>
      <c r="H35" s="45">
        <f>kentallen!L49</f>
        <v>7.9000000000000008E-3</v>
      </c>
      <c r="I35" s="45">
        <f>kentallen!M49</f>
        <v>7.0999999999999994E-2</v>
      </c>
      <c r="J35" s="12">
        <f>kentallen!N49</f>
        <v>1</v>
      </c>
      <c r="K35" s="517"/>
      <c r="L35" s="19"/>
      <c r="M35" s="19"/>
      <c r="N35" s="19"/>
      <c r="O35" s="19"/>
      <c r="P35" s="19"/>
      <c r="Q35" s="19"/>
      <c r="R35" s="19"/>
      <c r="S35" s="19"/>
      <c r="T35" s="19"/>
      <c r="U35" s="19"/>
      <c r="V35" s="282"/>
      <c r="W35" s="62"/>
    </row>
    <row r="36" spans="1:25" ht="17.25" customHeight="1" x14ac:dyDescent="0.35">
      <c r="A36" s="361"/>
      <c r="B36" s="357"/>
      <c r="C36" s="357"/>
      <c r="D36" s="353" t="s">
        <v>28</v>
      </c>
      <c r="E36" s="8" t="s">
        <v>80</v>
      </c>
      <c r="F36" s="474" t="s">
        <v>79</v>
      </c>
      <c r="G36" s="52">
        <v>0</v>
      </c>
      <c r="H36" s="52">
        <v>0</v>
      </c>
      <c r="I36" s="52">
        <v>0</v>
      </c>
      <c r="J36" s="52">
        <v>0</v>
      </c>
      <c r="K36" s="19"/>
      <c r="L36" s="19"/>
      <c r="M36" s="19"/>
      <c r="N36" s="19"/>
      <c r="O36" s="19"/>
      <c r="P36" s="19"/>
      <c r="Q36" s="19"/>
      <c r="R36" s="19"/>
      <c r="S36" s="19"/>
      <c r="T36" s="19"/>
      <c r="U36" s="19"/>
      <c r="V36" s="282"/>
      <c r="W36" s="62"/>
    </row>
    <row r="37" spans="1:25" ht="17.25" customHeight="1" x14ac:dyDescent="0.35">
      <c r="A37" s="361"/>
      <c r="B37" s="357"/>
      <c r="C37" s="357"/>
      <c r="D37" s="353" t="s">
        <v>29</v>
      </c>
      <c r="E37" s="8" t="s">
        <v>80</v>
      </c>
      <c r="F37" s="474" t="s">
        <v>79</v>
      </c>
      <c r="G37" s="52">
        <v>0</v>
      </c>
      <c r="H37" s="52">
        <v>0</v>
      </c>
      <c r="I37" s="52">
        <v>0</v>
      </c>
      <c r="J37" s="52">
        <v>0</v>
      </c>
      <c r="K37" s="19"/>
      <c r="L37" s="19"/>
      <c r="M37" s="19"/>
      <c r="N37" s="19"/>
      <c r="O37" s="19"/>
      <c r="P37" s="19"/>
      <c r="Q37" s="19"/>
      <c r="R37" s="19"/>
      <c r="S37" s="19"/>
      <c r="T37" s="19"/>
      <c r="U37" s="19"/>
      <c r="V37" s="282"/>
      <c r="W37" s="62"/>
    </row>
    <row r="38" spans="1:25" ht="17.25" customHeight="1" x14ac:dyDescent="0.35">
      <c r="A38" s="361"/>
      <c r="B38" s="357"/>
      <c r="C38" s="357"/>
      <c r="D38" s="353" t="s">
        <v>30</v>
      </c>
      <c r="E38" s="8" t="s">
        <v>80</v>
      </c>
      <c r="F38" s="474" t="s">
        <v>79</v>
      </c>
      <c r="G38" s="52">
        <v>0</v>
      </c>
      <c r="H38" s="52">
        <v>0</v>
      </c>
      <c r="I38" s="52">
        <v>0</v>
      </c>
      <c r="J38" s="52">
        <v>0</v>
      </c>
      <c r="K38" s="19"/>
      <c r="L38" s="19"/>
      <c r="M38" s="19"/>
      <c r="N38" s="19"/>
      <c r="O38" s="19"/>
      <c r="P38" s="19"/>
      <c r="Q38" s="19"/>
      <c r="R38" s="19"/>
      <c r="S38" s="19"/>
      <c r="T38" s="19"/>
      <c r="U38" s="19"/>
      <c r="V38" s="282"/>
      <c r="W38" s="62"/>
    </row>
    <row r="39" spans="1:25" ht="17.25" customHeight="1" x14ac:dyDescent="0.35">
      <c r="A39" s="361"/>
      <c r="B39" s="357"/>
      <c r="C39" s="357"/>
      <c r="D39" s="353" t="s">
        <v>31</v>
      </c>
      <c r="E39" s="8" t="s">
        <v>80</v>
      </c>
      <c r="F39" s="474" t="s">
        <v>79</v>
      </c>
      <c r="G39" s="52">
        <v>0</v>
      </c>
      <c r="H39" s="52">
        <v>0</v>
      </c>
      <c r="I39" s="52">
        <v>0</v>
      </c>
      <c r="J39" s="52">
        <v>0</v>
      </c>
      <c r="K39" s="19"/>
      <c r="L39" s="19"/>
      <c r="M39" s="19"/>
      <c r="N39" s="19"/>
      <c r="O39" s="19"/>
      <c r="P39" s="19"/>
      <c r="Q39" s="19"/>
      <c r="R39" s="19"/>
      <c r="S39" s="19"/>
      <c r="T39" s="19"/>
      <c r="U39" s="19"/>
      <c r="V39" s="282"/>
      <c r="W39" s="62"/>
    </row>
    <row r="40" spans="1:25" ht="12" customHeight="1" x14ac:dyDescent="0.35">
      <c r="A40" s="361"/>
      <c r="B40" s="357"/>
      <c r="C40" s="357"/>
      <c r="D40" s="473"/>
      <c r="E40" s="6"/>
      <c r="F40" s="7"/>
      <c r="G40" s="13"/>
      <c r="H40" s="13"/>
      <c r="I40" s="13"/>
      <c r="J40" s="13"/>
      <c r="K40" s="17"/>
      <c r="L40" s="17"/>
      <c r="M40" s="17"/>
      <c r="N40" s="17"/>
      <c r="O40" s="17"/>
      <c r="P40" s="17"/>
      <c r="Q40" s="17"/>
      <c r="R40" s="17"/>
      <c r="S40" s="17"/>
      <c r="T40" s="17"/>
      <c r="U40" s="17"/>
      <c r="V40" s="301"/>
      <c r="W40" s="62"/>
    </row>
    <row r="41" spans="1:25" s="71" customFormat="1" ht="17.25" customHeight="1" x14ac:dyDescent="0.35">
      <c r="A41" s="361"/>
      <c r="B41" s="357"/>
      <c r="C41" s="357"/>
      <c r="D41" s="472" t="s">
        <v>460</v>
      </c>
      <c r="E41" s="63"/>
      <c r="F41" s="64"/>
      <c r="G41" s="32"/>
      <c r="H41" s="32"/>
      <c r="I41" s="32"/>
      <c r="J41" s="32"/>
      <c r="K41" s="668" t="s">
        <v>455</v>
      </c>
      <c r="L41" s="63"/>
      <c r="M41" s="63"/>
      <c r="N41" s="63"/>
      <c r="O41" s="63"/>
      <c r="P41" s="63"/>
      <c r="Q41" s="63"/>
      <c r="R41" s="63"/>
      <c r="S41" s="63"/>
      <c r="T41" s="63"/>
      <c r="U41" s="63"/>
      <c r="V41" s="468"/>
      <c r="W41" s="65"/>
      <c r="Y41" s="519"/>
    </row>
    <row r="42" spans="1:25" s="447" customFormat="1" ht="17.25" customHeight="1" x14ac:dyDescent="0.25">
      <c r="A42" s="366"/>
      <c r="B42" s="367"/>
      <c r="C42" s="529"/>
      <c r="D42" s="390" t="s">
        <v>395</v>
      </c>
      <c r="E42" s="391" t="s">
        <v>398</v>
      </c>
      <c r="F42" s="402"/>
      <c r="G42" s="393"/>
      <c r="H42" s="393"/>
      <c r="I42" s="393"/>
      <c r="J42" s="393"/>
      <c r="K42" s="425">
        <f t="shared" ref="K42:V42" si="1">IFERROR(SUMPRODUCT($G12:$G39,K12:K39)/K59,"")</f>
        <v>0.63937500000000003</v>
      </c>
      <c r="L42" s="425" t="str">
        <f t="shared" si="1"/>
        <v/>
      </c>
      <c r="M42" s="425" t="str">
        <f t="shared" si="1"/>
        <v/>
      </c>
      <c r="N42" s="425" t="str">
        <f t="shared" si="1"/>
        <v/>
      </c>
      <c r="O42" s="425" t="str">
        <f t="shared" si="1"/>
        <v/>
      </c>
      <c r="P42" s="425" t="str">
        <f t="shared" si="1"/>
        <v/>
      </c>
      <c r="Q42" s="425" t="str">
        <f t="shared" si="1"/>
        <v/>
      </c>
      <c r="R42" s="425" t="str">
        <f t="shared" si="1"/>
        <v/>
      </c>
      <c r="S42" s="425" t="str">
        <f t="shared" si="1"/>
        <v/>
      </c>
      <c r="T42" s="425" t="str">
        <f t="shared" si="1"/>
        <v/>
      </c>
      <c r="U42" s="425" t="str">
        <f t="shared" si="1"/>
        <v/>
      </c>
      <c r="V42" s="426" t="str">
        <f t="shared" si="1"/>
        <v/>
      </c>
      <c r="W42" s="373"/>
      <c r="Y42" s="519"/>
    </row>
    <row r="43" spans="1:25" s="447" customFormat="1" ht="17.25" customHeight="1" x14ac:dyDescent="0.25">
      <c r="A43" s="366"/>
      <c r="B43" s="367"/>
      <c r="C43" s="529"/>
      <c r="D43" s="390" t="s">
        <v>396</v>
      </c>
      <c r="E43" s="391" t="s">
        <v>399</v>
      </c>
      <c r="F43" s="402"/>
      <c r="G43" s="393"/>
      <c r="H43" s="393"/>
      <c r="I43" s="393"/>
      <c r="J43" s="393"/>
      <c r="K43" s="425">
        <f t="shared" ref="K43:V43" si="2">IFERROR(SUMPRODUCT($H12:$H39,K12:K39)/K59,"")</f>
        <v>5.9374999999999997E-2</v>
      </c>
      <c r="L43" s="425" t="str">
        <f t="shared" si="2"/>
        <v/>
      </c>
      <c r="M43" s="425" t="str">
        <f t="shared" si="2"/>
        <v/>
      </c>
      <c r="N43" s="425" t="str">
        <f t="shared" si="2"/>
        <v/>
      </c>
      <c r="O43" s="425" t="str">
        <f t="shared" si="2"/>
        <v/>
      </c>
      <c r="P43" s="425" t="str">
        <f t="shared" si="2"/>
        <v/>
      </c>
      <c r="Q43" s="425" t="str">
        <f t="shared" si="2"/>
        <v/>
      </c>
      <c r="R43" s="425" t="str">
        <f t="shared" si="2"/>
        <v/>
      </c>
      <c r="S43" s="425" t="str">
        <f t="shared" si="2"/>
        <v/>
      </c>
      <c r="T43" s="425" t="str">
        <f t="shared" si="2"/>
        <v/>
      </c>
      <c r="U43" s="425" t="str">
        <f t="shared" si="2"/>
        <v/>
      </c>
      <c r="V43" s="426" t="str">
        <f t="shared" si="2"/>
        <v/>
      </c>
      <c r="W43" s="373"/>
      <c r="Y43" s="521"/>
    </row>
    <row r="44" spans="1:25" s="447" customFormat="1" ht="17.25" customHeight="1" x14ac:dyDescent="0.25">
      <c r="A44" s="366"/>
      <c r="B44" s="367"/>
      <c r="C44" s="529"/>
      <c r="D44" s="390" t="s">
        <v>401</v>
      </c>
      <c r="E44" s="391" t="s">
        <v>398</v>
      </c>
      <c r="F44" s="402"/>
      <c r="G44" s="393"/>
      <c r="H44" s="393"/>
      <c r="I44" s="393"/>
      <c r="J44" s="393"/>
      <c r="K44" s="425">
        <f t="shared" ref="K44:V44" si="3">IFERROR(IF(SUMPRODUCT($I12:$I39,K12:K39)/K59&gt;4,4,SUMPRODUCT($I12:$I39,K12:K39)/K59),"")</f>
        <v>0.43505136986301368</v>
      </c>
      <c r="L44" s="425" t="str">
        <f t="shared" si="3"/>
        <v/>
      </c>
      <c r="M44" s="425" t="str">
        <f t="shared" si="3"/>
        <v/>
      </c>
      <c r="N44" s="425" t="str">
        <f t="shared" si="3"/>
        <v/>
      </c>
      <c r="O44" s="425" t="str">
        <f t="shared" si="3"/>
        <v/>
      </c>
      <c r="P44" s="425" t="str">
        <f t="shared" si="3"/>
        <v/>
      </c>
      <c r="Q44" s="425" t="str">
        <f t="shared" si="3"/>
        <v/>
      </c>
      <c r="R44" s="425" t="str">
        <f t="shared" si="3"/>
        <v/>
      </c>
      <c r="S44" s="425" t="str">
        <f t="shared" si="3"/>
        <v/>
      </c>
      <c r="T44" s="425" t="str">
        <f t="shared" si="3"/>
        <v/>
      </c>
      <c r="U44" s="425" t="str">
        <f t="shared" si="3"/>
        <v/>
      </c>
      <c r="V44" s="426" t="str">
        <f t="shared" si="3"/>
        <v/>
      </c>
      <c r="W44" s="373"/>
      <c r="Y44" s="522"/>
    </row>
    <row r="45" spans="1:25" ht="12" customHeight="1" x14ac:dyDescent="0.35">
      <c r="A45" s="361"/>
      <c r="B45" s="357"/>
      <c r="C45" s="357"/>
      <c r="D45" s="473"/>
      <c r="E45" s="6"/>
      <c r="F45" s="7"/>
      <c r="G45" s="13"/>
      <c r="H45" s="13"/>
      <c r="I45" s="13"/>
      <c r="J45" s="13"/>
      <c r="K45" s="17"/>
      <c r="L45" s="17"/>
      <c r="M45" s="17"/>
      <c r="N45" s="17"/>
      <c r="O45" s="17"/>
      <c r="P45" s="17"/>
      <c r="Q45" s="17"/>
      <c r="R45" s="17"/>
      <c r="S45" s="17"/>
      <c r="T45" s="17"/>
      <c r="U45" s="17"/>
      <c r="V45" s="301"/>
      <c r="W45" s="62"/>
    </row>
    <row r="46" spans="1:25" ht="12" customHeight="1" x14ac:dyDescent="0.35">
      <c r="A46" s="361"/>
      <c r="B46" s="357"/>
      <c r="C46" s="357"/>
      <c r="D46" s="472" t="s">
        <v>403</v>
      </c>
      <c r="E46" s="6"/>
      <c r="F46" s="7"/>
      <c r="G46" s="13"/>
      <c r="H46" s="13"/>
      <c r="I46" s="13"/>
      <c r="J46" s="13"/>
      <c r="K46" s="17"/>
      <c r="L46" s="17"/>
      <c r="M46" s="17"/>
      <c r="N46" s="17"/>
      <c r="O46" s="17"/>
      <c r="P46" s="17"/>
      <c r="Q46" s="17"/>
      <c r="R46" s="17"/>
      <c r="S46" s="17"/>
      <c r="T46" s="17"/>
      <c r="U46" s="17"/>
      <c r="V46" s="301"/>
      <c r="W46" s="62"/>
    </row>
    <row r="47" spans="1:25" s="447" customFormat="1" ht="17.25" customHeight="1" x14ac:dyDescent="0.25">
      <c r="A47" s="366"/>
      <c r="B47" s="367"/>
      <c r="C47" s="529"/>
      <c r="D47" s="495" t="s">
        <v>400</v>
      </c>
      <c r="E47" s="511" t="s">
        <v>100</v>
      </c>
      <c r="F47" s="402"/>
      <c r="G47" s="393"/>
      <c r="H47" s="393"/>
      <c r="I47" s="393"/>
      <c r="J47" s="393"/>
      <c r="K47" s="496">
        <f>IFERROR(SUMPRODUCT($I12:$I39,K12:K39,$J12:$J39)/SUMPRODUCT($I12:$I39,K12:K39),"")</f>
        <v>66.873519108907004</v>
      </c>
      <c r="L47" s="496" t="str">
        <f t="shared" ref="L47:V47" si="4">IFERROR(SUMPRODUCT($I12:$I39,L12:L39,$J12:$J39)/SUMPRODUCT($I12:$I39,L12:L39),"")</f>
        <v/>
      </c>
      <c r="M47" s="496" t="str">
        <f t="shared" si="4"/>
        <v/>
      </c>
      <c r="N47" s="496" t="str">
        <f t="shared" si="4"/>
        <v/>
      </c>
      <c r="O47" s="496" t="str">
        <f t="shared" si="4"/>
        <v/>
      </c>
      <c r="P47" s="496" t="str">
        <f t="shared" si="4"/>
        <v/>
      </c>
      <c r="Q47" s="496" t="str">
        <f t="shared" si="4"/>
        <v/>
      </c>
      <c r="R47" s="496" t="str">
        <f t="shared" si="4"/>
        <v/>
      </c>
      <c r="S47" s="496" t="str">
        <f t="shared" si="4"/>
        <v/>
      </c>
      <c r="T47" s="496" t="str">
        <f t="shared" si="4"/>
        <v/>
      </c>
      <c r="U47" s="496" t="str">
        <f t="shared" si="4"/>
        <v/>
      </c>
      <c r="V47" s="497" t="str">
        <f t="shared" si="4"/>
        <v/>
      </c>
      <c r="W47" s="373"/>
      <c r="Y47" s="522"/>
    </row>
    <row r="48" spans="1:25" s="447" customFormat="1" ht="17.25" customHeight="1" x14ac:dyDescent="0.25">
      <c r="A48" s="366"/>
      <c r="B48" s="367"/>
      <c r="C48" s="529"/>
      <c r="D48" s="495" t="s">
        <v>404</v>
      </c>
      <c r="E48" s="511" t="s">
        <v>402</v>
      </c>
      <c r="F48" s="402"/>
      <c r="G48" s="393"/>
      <c r="H48" s="393"/>
      <c r="I48" s="393"/>
      <c r="J48" s="393"/>
      <c r="K48" s="512">
        <f>IFERROR(IF((K59/K53)/((K52/K47)*(K67+K69/(K52*K53)))&gt;1,1,(K59/K53)/((K52/K47)*(K67+K69/(K52*K53)))),"")</f>
        <v>1</v>
      </c>
      <c r="L48" s="512" t="str">
        <f t="shared" ref="L48:V48" si="5">IFERROR(IF((L59/L53)/((L52/L47)*(L67+L69/(L52*L53)))&gt;1,1,(L59/L53)/((L52/L47)*(L67+L69/(L52*L53)))),"")</f>
        <v/>
      </c>
      <c r="M48" s="512" t="str">
        <f t="shared" si="5"/>
        <v/>
      </c>
      <c r="N48" s="512" t="str">
        <f t="shared" si="5"/>
        <v/>
      </c>
      <c r="O48" s="512" t="str">
        <f t="shared" si="5"/>
        <v/>
      </c>
      <c r="P48" s="512" t="str">
        <f t="shared" si="5"/>
        <v/>
      </c>
      <c r="Q48" s="512" t="str">
        <f t="shared" si="5"/>
        <v/>
      </c>
      <c r="R48" s="512" t="str">
        <f t="shared" si="5"/>
        <v/>
      </c>
      <c r="S48" s="512" t="str">
        <f t="shared" si="5"/>
        <v/>
      </c>
      <c r="T48" s="512" t="str">
        <f t="shared" si="5"/>
        <v/>
      </c>
      <c r="U48" s="512" t="str">
        <f t="shared" si="5"/>
        <v/>
      </c>
      <c r="V48" s="513" t="str">
        <f t="shared" si="5"/>
        <v/>
      </c>
      <c r="W48" s="373"/>
      <c r="Y48" s="522"/>
    </row>
    <row r="49" spans="1:25" s="447" customFormat="1" ht="17.25" customHeight="1" thickBot="1" x14ac:dyDescent="0.3">
      <c r="A49" s="366"/>
      <c r="B49" s="367"/>
      <c r="C49" s="529"/>
      <c r="D49" s="407" t="s">
        <v>405</v>
      </c>
      <c r="E49" s="417" t="s">
        <v>397</v>
      </c>
      <c r="F49" s="409"/>
      <c r="G49" s="410"/>
      <c r="H49" s="410"/>
      <c r="I49" s="410"/>
      <c r="J49" s="410"/>
      <c r="K49" s="429">
        <f>IFERROR(IF(K44*K48&gt;4,4,K44*K48),0)</f>
        <v>0.43505136986301368</v>
      </c>
      <c r="L49" s="429">
        <f t="shared" ref="L49:V49" si="6">IFERROR(IF(L44*L48&gt;4,4,L44*L48),0)</f>
        <v>0</v>
      </c>
      <c r="M49" s="429">
        <f t="shared" si="6"/>
        <v>0</v>
      </c>
      <c r="N49" s="429">
        <f t="shared" si="6"/>
        <v>0</v>
      </c>
      <c r="O49" s="429">
        <f t="shared" si="6"/>
        <v>0</v>
      </c>
      <c r="P49" s="429">
        <f t="shared" si="6"/>
        <v>0</v>
      </c>
      <c r="Q49" s="429">
        <f t="shared" si="6"/>
        <v>0</v>
      </c>
      <c r="R49" s="429">
        <f t="shared" si="6"/>
        <v>0</v>
      </c>
      <c r="S49" s="429">
        <f t="shared" si="6"/>
        <v>0</v>
      </c>
      <c r="T49" s="429">
        <f t="shared" si="6"/>
        <v>0</v>
      </c>
      <c r="U49" s="429">
        <f t="shared" si="6"/>
        <v>0</v>
      </c>
      <c r="V49" s="430">
        <f t="shared" si="6"/>
        <v>0</v>
      </c>
      <c r="W49" s="373"/>
      <c r="Y49" s="522"/>
    </row>
    <row r="50" spans="1:25" ht="17.25" customHeight="1" x14ac:dyDescent="0.35">
      <c r="A50" s="361"/>
      <c r="B50" s="357"/>
      <c r="C50" s="357"/>
      <c r="D50" s="15"/>
      <c r="E50" s="6"/>
      <c r="F50" s="7"/>
      <c r="G50" s="13"/>
      <c r="H50" s="13"/>
      <c r="I50" s="13"/>
      <c r="J50" s="13"/>
      <c r="K50" s="17"/>
      <c r="L50" s="17"/>
      <c r="M50" s="17"/>
      <c r="N50" s="17"/>
      <c r="O50" s="17"/>
      <c r="P50" s="17"/>
      <c r="Q50" s="17"/>
      <c r="R50" s="17"/>
      <c r="S50" s="17"/>
      <c r="T50" s="17"/>
      <c r="U50" s="17"/>
      <c r="V50" s="17"/>
      <c r="W50" s="62"/>
      <c r="Y50" s="522"/>
    </row>
    <row r="51" spans="1:25" ht="17.25" customHeight="1" thickBot="1" x14ac:dyDescent="0.4">
      <c r="A51" s="361"/>
      <c r="B51" s="357"/>
      <c r="C51" s="530" t="s">
        <v>234</v>
      </c>
      <c r="D51" s="15"/>
      <c r="E51" s="6"/>
      <c r="F51" s="7"/>
      <c r="G51" s="13"/>
      <c r="H51" s="13"/>
      <c r="I51" s="13"/>
      <c r="J51" s="13"/>
      <c r="K51" s="17"/>
      <c r="L51" s="17"/>
      <c r="M51" s="17"/>
      <c r="N51" s="17"/>
      <c r="O51" s="17"/>
      <c r="P51" s="17"/>
      <c r="Q51" s="17"/>
      <c r="R51" s="17"/>
      <c r="S51" s="17"/>
      <c r="T51" s="17"/>
      <c r="U51" s="17"/>
      <c r="V51" s="17"/>
      <c r="W51" s="62"/>
      <c r="Y51" s="522"/>
    </row>
    <row r="52" spans="1:25" s="447" customFormat="1" ht="17.25" customHeight="1" x14ac:dyDescent="0.25">
      <c r="A52" s="366"/>
      <c r="B52" s="367"/>
      <c r="C52" s="529"/>
      <c r="D52" s="368" t="s">
        <v>10</v>
      </c>
      <c r="E52" s="369" t="s">
        <v>13</v>
      </c>
      <c r="F52" s="370" t="s">
        <v>25</v>
      </c>
      <c r="G52" s="387"/>
      <c r="H52" s="387"/>
      <c r="I52" s="387"/>
      <c r="J52" s="387"/>
      <c r="K52" s="371">
        <v>0.5</v>
      </c>
      <c r="L52" s="388"/>
      <c r="M52" s="371"/>
      <c r="N52" s="371"/>
      <c r="O52" s="388"/>
      <c r="P52" s="371"/>
      <c r="Q52" s="371"/>
      <c r="R52" s="371"/>
      <c r="S52" s="371"/>
      <c r="T52" s="371"/>
      <c r="U52" s="371"/>
      <c r="V52" s="372"/>
      <c r="W52" s="373"/>
      <c r="Y52" s="519"/>
    </row>
    <row r="53" spans="1:25" s="447" customFormat="1" ht="17.25" customHeight="1" x14ac:dyDescent="0.25">
      <c r="A53" s="366"/>
      <c r="B53" s="367"/>
      <c r="C53" s="531"/>
      <c r="D53" s="390" t="s">
        <v>11</v>
      </c>
      <c r="E53" s="391" t="s">
        <v>13</v>
      </c>
      <c r="F53" s="47" t="s">
        <v>26</v>
      </c>
      <c r="G53" s="393"/>
      <c r="H53" s="393"/>
      <c r="I53" s="393"/>
      <c r="J53" s="393"/>
      <c r="K53" s="394">
        <v>8</v>
      </c>
      <c r="L53" s="395"/>
      <c r="M53" s="394"/>
      <c r="N53" s="394"/>
      <c r="O53" s="394"/>
      <c r="P53" s="394"/>
      <c r="Q53" s="394"/>
      <c r="R53" s="394"/>
      <c r="S53" s="394"/>
      <c r="T53" s="394"/>
      <c r="U53" s="394"/>
      <c r="V53" s="396"/>
      <c r="W53" s="373"/>
      <c r="Y53" s="519"/>
    </row>
    <row r="54" spans="1:25" s="447" customFormat="1" ht="17.25" customHeight="1" x14ac:dyDescent="0.25">
      <c r="A54" s="366"/>
      <c r="B54" s="367"/>
      <c r="C54" s="531"/>
      <c r="D54" s="390" t="s">
        <v>12</v>
      </c>
      <c r="E54" s="391" t="s">
        <v>13</v>
      </c>
      <c r="F54" s="47" t="s">
        <v>32</v>
      </c>
      <c r="G54" s="393"/>
      <c r="H54" s="393"/>
      <c r="I54" s="393"/>
      <c r="J54" s="393"/>
      <c r="K54" s="394">
        <v>200</v>
      </c>
      <c r="L54" s="395"/>
      <c r="M54" s="394"/>
      <c r="N54" s="394"/>
      <c r="O54" s="394"/>
      <c r="P54" s="394"/>
      <c r="Q54" s="394"/>
      <c r="R54" s="394"/>
      <c r="S54" s="394"/>
      <c r="T54" s="394"/>
      <c r="U54" s="394"/>
      <c r="V54" s="396"/>
      <c r="W54" s="373"/>
      <c r="Y54" s="522"/>
    </row>
    <row r="55" spans="1:25" s="447" customFormat="1" ht="17.25" customHeight="1" x14ac:dyDescent="0.25">
      <c r="A55" s="366"/>
      <c r="B55" s="367"/>
      <c r="C55" s="531"/>
      <c r="D55" s="390" t="s">
        <v>8</v>
      </c>
      <c r="E55" s="391" t="s">
        <v>9</v>
      </c>
      <c r="F55" s="47" t="s">
        <v>284</v>
      </c>
      <c r="G55" s="393"/>
      <c r="H55" s="393"/>
      <c r="I55" s="393"/>
      <c r="J55" s="393"/>
      <c r="K55" s="394">
        <v>1</v>
      </c>
      <c r="L55" s="395"/>
      <c r="M55" s="394"/>
      <c r="N55" s="394"/>
      <c r="O55" s="394"/>
      <c r="P55" s="394"/>
      <c r="Q55" s="394"/>
      <c r="R55" s="394"/>
      <c r="S55" s="394"/>
      <c r="T55" s="394"/>
      <c r="U55" s="394"/>
      <c r="V55" s="396"/>
      <c r="W55" s="373"/>
      <c r="Y55" s="522"/>
    </row>
    <row r="56" spans="1:25" s="448" customFormat="1" ht="17.25" customHeight="1" x14ac:dyDescent="0.25">
      <c r="A56" s="366"/>
      <c r="B56" s="367"/>
      <c r="C56" s="532"/>
      <c r="D56" s="413" t="s">
        <v>21</v>
      </c>
      <c r="E56" s="404" t="s">
        <v>18</v>
      </c>
      <c r="F56" s="414" t="s">
        <v>414</v>
      </c>
      <c r="G56" s="393"/>
      <c r="H56" s="393"/>
      <c r="I56" s="393"/>
      <c r="J56" s="393"/>
      <c r="K56" s="394"/>
      <c r="L56" s="394"/>
      <c r="M56" s="394"/>
      <c r="N56" s="394"/>
      <c r="O56" s="394"/>
      <c r="P56" s="394"/>
      <c r="Q56" s="394"/>
      <c r="R56" s="394"/>
      <c r="S56" s="394"/>
      <c r="T56" s="394"/>
      <c r="U56" s="394"/>
      <c r="V56" s="396"/>
      <c r="W56" s="389"/>
      <c r="Y56" s="522"/>
    </row>
    <row r="57" spans="1:25" s="448" customFormat="1" ht="17.25" customHeight="1" x14ac:dyDescent="0.25">
      <c r="A57" s="366"/>
      <c r="B57" s="367"/>
      <c r="C57" s="532"/>
      <c r="D57" s="397"/>
      <c r="E57" s="398"/>
      <c r="F57" s="399"/>
      <c r="G57" s="393"/>
      <c r="H57" s="393"/>
      <c r="I57" s="393"/>
      <c r="J57" s="393"/>
      <c r="K57" s="399"/>
      <c r="L57" s="399"/>
      <c r="M57" s="399"/>
      <c r="N57" s="399"/>
      <c r="O57" s="399"/>
      <c r="P57" s="399"/>
      <c r="Q57" s="399"/>
      <c r="R57" s="399"/>
      <c r="S57" s="399"/>
      <c r="T57" s="399"/>
      <c r="U57" s="399"/>
      <c r="V57" s="415"/>
      <c r="W57" s="389"/>
      <c r="Y57" s="522"/>
    </row>
    <row r="58" spans="1:25" s="447" customFormat="1" ht="17.25" customHeight="1" x14ac:dyDescent="0.25">
      <c r="A58" s="366"/>
      <c r="B58" s="367"/>
      <c r="C58" s="529"/>
      <c r="D58" s="400" t="s">
        <v>281</v>
      </c>
      <c r="E58" s="401"/>
      <c r="F58" s="402"/>
      <c r="G58" s="393"/>
      <c r="H58" s="393"/>
      <c r="I58" s="393"/>
      <c r="J58" s="393"/>
      <c r="K58" s="401"/>
      <c r="L58" s="401"/>
      <c r="M58" s="401"/>
      <c r="N58" s="401"/>
      <c r="O58" s="401"/>
      <c r="P58" s="401"/>
      <c r="Q58" s="401"/>
      <c r="R58" s="401"/>
      <c r="S58" s="401"/>
      <c r="T58" s="401"/>
      <c r="U58" s="401"/>
      <c r="V58" s="403"/>
      <c r="W58" s="373"/>
      <c r="Y58" s="523"/>
    </row>
    <row r="59" spans="1:25" s="447" customFormat="1" ht="17.25" customHeight="1" x14ac:dyDescent="0.25">
      <c r="A59" s="366"/>
      <c r="B59" s="367"/>
      <c r="C59" s="529"/>
      <c r="D59" s="390" t="s">
        <v>21</v>
      </c>
      <c r="E59" s="391" t="s">
        <v>18</v>
      </c>
      <c r="F59" s="402"/>
      <c r="G59" s="393"/>
      <c r="H59" s="416"/>
      <c r="I59" s="416"/>
      <c r="J59" s="416"/>
      <c r="K59" s="405">
        <f t="shared" ref="K59:V59" si="7">IF(K56="",IF(K55=1,K53*K54,IF(K55=2,PI()*((K53/2*K54/2)),"")),K56)</f>
        <v>1600</v>
      </c>
      <c r="L59" s="405" t="str">
        <f t="shared" si="7"/>
        <v/>
      </c>
      <c r="M59" s="405" t="str">
        <f t="shared" si="7"/>
        <v/>
      </c>
      <c r="N59" s="405" t="str">
        <f t="shared" si="7"/>
        <v/>
      </c>
      <c r="O59" s="405" t="str">
        <f t="shared" si="7"/>
        <v/>
      </c>
      <c r="P59" s="405" t="str">
        <f t="shared" si="7"/>
        <v/>
      </c>
      <c r="Q59" s="405" t="str">
        <f t="shared" si="7"/>
        <v/>
      </c>
      <c r="R59" s="405" t="str">
        <f t="shared" si="7"/>
        <v/>
      </c>
      <c r="S59" s="405" t="str">
        <f t="shared" si="7"/>
        <v/>
      </c>
      <c r="T59" s="405" t="str">
        <f t="shared" si="7"/>
        <v/>
      </c>
      <c r="U59" s="405" t="str">
        <f t="shared" si="7"/>
        <v/>
      </c>
      <c r="V59" s="406" t="str">
        <f t="shared" si="7"/>
        <v/>
      </c>
      <c r="W59" s="373"/>
      <c r="Y59" s="523"/>
    </row>
    <row r="60" spans="1:25" s="447" customFormat="1" ht="17.25" customHeight="1" thickBot="1" x14ac:dyDescent="0.3">
      <c r="A60" s="366"/>
      <c r="B60" s="367"/>
      <c r="C60" s="529"/>
      <c r="D60" s="407" t="s">
        <v>22</v>
      </c>
      <c r="E60" s="417" t="s">
        <v>19</v>
      </c>
      <c r="F60" s="409"/>
      <c r="G60" s="410"/>
      <c r="H60" s="418"/>
      <c r="I60" s="418"/>
      <c r="J60" s="418"/>
      <c r="K60" s="411">
        <f t="shared" ref="K60:V60" si="8">IFERROR(K52*K59,"")</f>
        <v>800</v>
      </c>
      <c r="L60" s="411" t="str">
        <f t="shared" si="8"/>
        <v/>
      </c>
      <c r="M60" s="411" t="str">
        <f t="shared" si="8"/>
        <v/>
      </c>
      <c r="N60" s="411" t="str">
        <f t="shared" si="8"/>
        <v/>
      </c>
      <c r="O60" s="411" t="str">
        <f t="shared" si="8"/>
        <v/>
      </c>
      <c r="P60" s="411" t="str">
        <f t="shared" si="8"/>
        <v/>
      </c>
      <c r="Q60" s="411" t="str">
        <f t="shared" si="8"/>
        <v/>
      </c>
      <c r="R60" s="411" t="str">
        <f t="shared" si="8"/>
        <v/>
      </c>
      <c r="S60" s="411" t="str">
        <f t="shared" si="8"/>
        <v/>
      </c>
      <c r="T60" s="411" t="str">
        <f t="shared" si="8"/>
        <v/>
      </c>
      <c r="U60" s="411" t="str">
        <f t="shared" si="8"/>
        <v/>
      </c>
      <c r="V60" s="412" t="str">
        <f t="shared" si="8"/>
        <v/>
      </c>
      <c r="W60" s="373"/>
      <c r="Y60" s="522"/>
    </row>
    <row r="61" spans="1:25" ht="17.25" customHeight="1" x14ac:dyDescent="0.35">
      <c r="A61" s="361"/>
      <c r="B61" s="357"/>
      <c r="C61" s="530"/>
      <c r="D61" s="15"/>
      <c r="E61" s="6"/>
      <c r="F61" s="7"/>
      <c r="G61" s="13"/>
      <c r="H61" s="13"/>
      <c r="I61" s="13"/>
      <c r="J61" s="13"/>
      <c r="K61" s="13"/>
      <c r="L61" s="13"/>
      <c r="M61" s="13"/>
      <c r="N61" s="13"/>
      <c r="O61" s="13"/>
      <c r="P61" s="13"/>
      <c r="Q61" s="13"/>
      <c r="R61" s="13"/>
      <c r="S61" s="13"/>
      <c r="T61" s="13"/>
      <c r="U61" s="13"/>
      <c r="V61" s="13"/>
      <c r="W61" s="62"/>
      <c r="Y61" s="522"/>
    </row>
    <row r="62" spans="1:25" ht="17.25" customHeight="1" thickBot="1" x14ac:dyDescent="0.4">
      <c r="A62" s="361"/>
      <c r="B62" s="357"/>
      <c r="C62" s="530" t="s">
        <v>235</v>
      </c>
      <c r="D62" s="15"/>
      <c r="E62" s="6"/>
      <c r="F62" s="340"/>
      <c r="G62" s="13"/>
      <c r="H62" s="13"/>
      <c r="I62" s="15"/>
      <c r="J62" s="15"/>
      <c r="K62" s="15"/>
      <c r="L62" s="15"/>
      <c r="M62" s="15"/>
      <c r="N62" s="15"/>
      <c r="O62" s="15"/>
      <c r="P62" s="15"/>
      <c r="Q62" s="15"/>
      <c r="R62" s="15"/>
      <c r="S62" s="15"/>
      <c r="T62" s="15"/>
      <c r="U62" s="15"/>
      <c r="V62" s="15"/>
      <c r="W62" s="62"/>
      <c r="Y62" s="522"/>
    </row>
    <row r="63" spans="1:25" s="448" customFormat="1" ht="17.25" customHeight="1" x14ac:dyDescent="0.25">
      <c r="A63" s="366"/>
      <c r="B63" s="367"/>
      <c r="C63" s="532"/>
      <c r="D63" s="383" t="s">
        <v>266</v>
      </c>
      <c r="E63" s="384" t="s">
        <v>230</v>
      </c>
      <c r="F63" s="385" t="s">
        <v>268</v>
      </c>
      <c r="G63" s="386"/>
      <c r="H63" s="387"/>
      <c r="I63" s="387"/>
      <c r="J63" s="387"/>
      <c r="K63" s="371"/>
      <c r="L63" s="388"/>
      <c r="M63" s="371"/>
      <c r="N63" s="371"/>
      <c r="O63" s="371"/>
      <c r="P63" s="371"/>
      <c r="Q63" s="371"/>
      <c r="R63" s="371"/>
      <c r="S63" s="371"/>
      <c r="T63" s="371"/>
      <c r="U63" s="371"/>
      <c r="V63" s="372"/>
      <c r="W63" s="389"/>
      <c r="Y63" s="519"/>
    </row>
    <row r="64" spans="1:25" s="447" customFormat="1" ht="17.25" customHeight="1" x14ac:dyDescent="0.25">
      <c r="A64" s="366"/>
      <c r="B64" s="367"/>
      <c r="C64" s="531"/>
      <c r="D64" s="390" t="s">
        <v>221</v>
      </c>
      <c r="E64" s="391" t="s">
        <v>14</v>
      </c>
      <c r="F64" s="47" t="s">
        <v>308</v>
      </c>
      <c r="G64" s="392"/>
      <c r="H64" s="393"/>
      <c r="I64" s="393"/>
      <c r="J64" s="393"/>
      <c r="K64" s="394">
        <v>4</v>
      </c>
      <c r="L64" s="395"/>
      <c r="M64" s="394"/>
      <c r="N64" s="394"/>
      <c r="O64" s="394"/>
      <c r="P64" s="394"/>
      <c r="Q64" s="394"/>
      <c r="R64" s="394"/>
      <c r="S64" s="394"/>
      <c r="T64" s="394"/>
      <c r="U64" s="394"/>
      <c r="V64" s="396"/>
      <c r="W64" s="373"/>
      <c r="Y64" s="519"/>
    </row>
    <row r="65" spans="1:25" s="448" customFormat="1" ht="17.25" customHeight="1" x14ac:dyDescent="0.25">
      <c r="A65" s="366"/>
      <c r="B65" s="367"/>
      <c r="C65" s="532"/>
      <c r="D65" s="397"/>
      <c r="E65" s="398"/>
      <c r="F65" s="399"/>
      <c r="G65" s="393"/>
      <c r="H65" s="393"/>
      <c r="I65" s="485"/>
      <c r="J65" s="485" t="str">
        <f>IF(MAX(K64:V64)&gt;0,"gebruikte wateraanvoer voor berekening","")</f>
        <v>gebruikte wateraanvoer voor berekening</v>
      </c>
      <c r="K65" s="483" t="str">
        <f>IF(K63="",IF(K64="","",IF(K64&lt;6,CONCATENATE(VLOOKUP(K64,'rekenhulp wateraanvoer in m3'!$C$72:$E$81,2,FALSE)," ",'rekenhulp wateraanvoer in m3'!$D$71),CONCATENATE(VLOOKUP(K64,'rekenhulp wateraanvoer in m3'!$C$72:$E$81,3,FALSE)," ",'rekenhulp wateraanvoer in m3'!$E$71))),CONCATENATE(ROUND(K63,0)," ","m3/d"))</f>
        <v>75 mm/dag</v>
      </c>
      <c r="L65" s="483" t="str">
        <f>IF(L63="",IF(L64="","",IF(L64&lt;6,CONCATENATE(VLOOKUP(L64,'rekenhulp wateraanvoer in m3'!$C$72:$E$81,2,FALSE)," ",'rekenhulp wateraanvoer in m3'!$D$71),CONCATENATE(VLOOKUP(L64,'rekenhulp wateraanvoer in m3'!$C$72:$E$81,3,FALSE)," ",'rekenhulp wateraanvoer in m3'!$E$71))),CONCATENATE(ROUND(L63,0)," ","m3/d"))</f>
        <v/>
      </c>
      <c r="M65" s="483" t="str">
        <f>IF(M63="",IF(M64="","",IF(M64&lt;6,CONCATENATE(VLOOKUP(M64,'rekenhulp wateraanvoer in m3'!$C$72:$E$81,2,FALSE)," ",'rekenhulp wateraanvoer in m3'!$D$71),CONCATENATE(VLOOKUP(M64,'rekenhulp wateraanvoer in m3'!$C$72:$E$81,3,FALSE)," ",'rekenhulp wateraanvoer in m3'!$E$71))),CONCATENATE(ROUND(M63,0)," ","m3/d"))</f>
        <v/>
      </c>
      <c r="N65" s="483" t="str">
        <f>IF(N63="",IF(N64="","",IF(N64&lt;6,CONCATENATE(VLOOKUP(N64,'rekenhulp wateraanvoer in m3'!$C$72:$E$81,2,FALSE)," ",'rekenhulp wateraanvoer in m3'!$D$71),CONCATENATE(VLOOKUP(N64,'rekenhulp wateraanvoer in m3'!$C$72:$E$81,3,FALSE)," ",'rekenhulp wateraanvoer in m3'!$E$71))),CONCATENATE(ROUND(N63,0)," ","m3/d"))</f>
        <v/>
      </c>
      <c r="O65" s="483" t="str">
        <f>IF(O63="",IF(O64="","",IF(O64&lt;6,CONCATENATE(VLOOKUP(O64,'rekenhulp wateraanvoer in m3'!$C$72:$E$81,2,FALSE)," ",'rekenhulp wateraanvoer in m3'!$D$71),CONCATENATE(VLOOKUP(O64,'rekenhulp wateraanvoer in m3'!$C$72:$E$81,3,FALSE)," ",'rekenhulp wateraanvoer in m3'!$E$71))),CONCATENATE(ROUND(O63,0)," ","m3/d"))</f>
        <v/>
      </c>
      <c r="P65" s="483" t="str">
        <f>IF(P63="",IF(P64="","",IF(P64&lt;6,CONCATENATE(VLOOKUP(P64,'rekenhulp wateraanvoer in m3'!$C$72:$E$81,2,FALSE)," ",'rekenhulp wateraanvoer in m3'!$D$71),CONCATENATE(VLOOKUP(P64,'rekenhulp wateraanvoer in m3'!$C$72:$E$81,3,FALSE)," ",'rekenhulp wateraanvoer in m3'!$E$71))),CONCATENATE(ROUND(P63,0)," ","m3/d"))</f>
        <v/>
      </c>
      <c r="Q65" s="483" t="str">
        <f>IF(Q63="",IF(Q64="","",IF(Q64&lt;6,CONCATENATE(VLOOKUP(Q64,'rekenhulp wateraanvoer in m3'!$C$72:$E$81,2,FALSE)," ",'rekenhulp wateraanvoer in m3'!$D$71),CONCATENATE(VLOOKUP(Q64,'rekenhulp wateraanvoer in m3'!$C$72:$E$81,3,FALSE)," ",'rekenhulp wateraanvoer in m3'!$E$71))),CONCATENATE(ROUND(Q63,0)," ","m3/d"))</f>
        <v/>
      </c>
      <c r="R65" s="483" t="str">
        <f>IF(R63="",IF(R64="","",IF(R64&lt;6,CONCATENATE(VLOOKUP(R64,'rekenhulp wateraanvoer in m3'!$C$72:$E$81,2,FALSE)," ",'rekenhulp wateraanvoer in m3'!$D$71),CONCATENATE(VLOOKUP(R64,'rekenhulp wateraanvoer in m3'!$C$72:$E$81,3,FALSE)," ",'rekenhulp wateraanvoer in m3'!$E$71))),CONCATENATE(ROUND(R63,0)," ","m3/d"))</f>
        <v/>
      </c>
      <c r="S65" s="483" t="str">
        <f>IF(S63="",IF(S64="","",IF(S64&lt;6,CONCATENATE(VLOOKUP(S64,'rekenhulp wateraanvoer in m3'!$C$72:$E$81,2,FALSE)," ",'rekenhulp wateraanvoer in m3'!$D$71),CONCATENATE(VLOOKUP(S64,'rekenhulp wateraanvoer in m3'!$C$72:$E$81,3,FALSE)," ",'rekenhulp wateraanvoer in m3'!$E$71))),CONCATENATE(ROUND(S63,0)," ","m3/d"))</f>
        <v/>
      </c>
      <c r="T65" s="483" t="str">
        <f>IF(T63="",IF(T64="","",IF(T64&lt;6,CONCATENATE(VLOOKUP(T64,'rekenhulp wateraanvoer in m3'!$C$72:$E$81,2,FALSE)," ",'rekenhulp wateraanvoer in m3'!$D$71),CONCATENATE(VLOOKUP(T64,'rekenhulp wateraanvoer in m3'!$C$72:$E$81,3,FALSE)," ",'rekenhulp wateraanvoer in m3'!$E$71))),CONCATENATE(ROUND(T63,0)," ","m3/d"))</f>
        <v/>
      </c>
      <c r="U65" s="483" t="str">
        <f>IF(U63="",IF(U64="","",IF(U64&lt;6,CONCATENATE(VLOOKUP(U64,'rekenhulp wateraanvoer in m3'!$C$72:$E$81,2,FALSE)," ",'rekenhulp wateraanvoer in m3'!$D$71),CONCATENATE(VLOOKUP(U64,'rekenhulp wateraanvoer in m3'!$C$72:$E$81,3,FALSE)," ",'rekenhulp wateraanvoer in m3'!$E$71))),CONCATENATE(ROUND(U63,0)," ","m3/d"))</f>
        <v/>
      </c>
      <c r="V65" s="484" t="str">
        <f>IF(V63="",IF(V64="","",IF(V64&lt;6,CONCATENATE(VLOOKUP(V64,'rekenhulp wateraanvoer in m3'!$C$72:$E$81,2,FALSE)," ",'rekenhulp wateraanvoer in m3'!$D$71),CONCATENATE(VLOOKUP(V64,'rekenhulp wateraanvoer in m3'!$C$72:$E$81,3,FALSE)," ",'rekenhulp wateraanvoer in m3'!$E$71))),CONCATENATE(ROUND(V63,0)," ","m3/d"))</f>
        <v/>
      </c>
      <c r="W65" s="389"/>
      <c r="Y65" s="523"/>
    </row>
    <row r="66" spans="1:25" s="447" customFormat="1" ht="17.25" customHeight="1" x14ac:dyDescent="0.25">
      <c r="A66" s="366"/>
      <c r="B66" s="367"/>
      <c r="C66" s="529"/>
      <c r="D66" s="400" t="s">
        <v>282</v>
      </c>
      <c r="E66" s="401"/>
      <c r="F66" s="402"/>
      <c r="G66" s="393"/>
      <c r="H66" s="393"/>
      <c r="I66" s="393"/>
      <c r="J66" s="393"/>
      <c r="K66" s="401"/>
      <c r="L66" s="401"/>
      <c r="M66" s="401"/>
      <c r="N66" s="401"/>
      <c r="O66" s="401"/>
      <c r="P66" s="401"/>
      <c r="Q66" s="401"/>
      <c r="R66" s="401"/>
      <c r="S66" s="401"/>
      <c r="T66" s="401"/>
      <c r="U66" s="401"/>
      <c r="V66" s="403"/>
      <c r="W66" s="373"/>
      <c r="Y66" s="522"/>
    </row>
    <row r="67" spans="1:25" s="447" customFormat="1" ht="17.25" customHeight="1" x14ac:dyDescent="0.25">
      <c r="A67" s="366"/>
      <c r="B67" s="367"/>
      <c r="C67" s="529"/>
      <c r="D67" s="390" t="s">
        <v>33</v>
      </c>
      <c r="E67" s="404" t="s">
        <v>230</v>
      </c>
      <c r="F67" s="402"/>
      <c r="G67" s="393"/>
      <c r="H67" s="393"/>
      <c r="I67" s="393"/>
      <c r="J67" s="393"/>
      <c r="K67" s="405">
        <f>IF(K63="",IFERROR(IF(K64&lt;6,VLOOKUP(K64,'rekenhulp wateraanvoer in m3'!$C$72:$E$81,2,FALSE)/1000*K59,VLOOKUP(K64,'rekenhulp wateraanvoer in m3'!$C$72:$E$81,3,FALSE)/100*60*60*24*K53*K52),""),K63)</f>
        <v>120</v>
      </c>
      <c r="L67" s="405" t="str">
        <f>IF(L63="",IFERROR(IF(L64&lt;6,VLOOKUP(L64,'rekenhulp wateraanvoer in m3'!$C$72:$E$81,2,FALSE)/1000*L59,VLOOKUP(L64,'rekenhulp wateraanvoer in m3'!$C$72:$E$81,3,FALSE)/100*60*60*24*L53*L52),""),L63)</f>
        <v/>
      </c>
      <c r="M67" s="405" t="str">
        <f>IF(M63="",IFERROR(IF(M64&lt;6,VLOOKUP(M64,'rekenhulp wateraanvoer in m3'!$C$72:$E$81,2,FALSE)/1000*M59,VLOOKUP(M64,'rekenhulp wateraanvoer in m3'!$C$72:$E$81,3,FALSE)/100*60*60*24*M53*M52),""),M63)</f>
        <v/>
      </c>
      <c r="N67" s="405" t="str">
        <f>IF(N63="",IFERROR(IF(N64&lt;6,VLOOKUP(N64,'rekenhulp wateraanvoer in m3'!$C$72:$E$81,2,FALSE)/1000*N59,VLOOKUP(N64,'rekenhulp wateraanvoer in m3'!$C$72:$E$81,3,FALSE)/100*60*60*24*N53*N52),""),N63)</f>
        <v/>
      </c>
      <c r="O67" s="405" t="str">
        <f>IF(O63="",IFERROR(IF(O64&lt;6,VLOOKUP(O64,'rekenhulp wateraanvoer in m3'!$C$72:$E$81,2,FALSE)/1000*O59,VLOOKUP(O64,'rekenhulp wateraanvoer in m3'!$C$72:$E$81,3,FALSE)/100*60*60*24*O53*O52),""),O63)</f>
        <v/>
      </c>
      <c r="P67" s="405" t="str">
        <f>IF(P63="",IFERROR(IF(P64&lt;6,VLOOKUP(P64,'rekenhulp wateraanvoer in m3'!$C$72:$E$81,2,FALSE)/1000*P59,VLOOKUP(P64,'rekenhulp wateraanvoer in m3'!$C$72:$E$81,3,FALSE)/100*60*60*24*P53*P52),""),P63)</f>
        <v/>
      </c>
      <c r="Q67" s="405" t="str">
        <f>IF(Q63="",IFERROR(IF(Q64&lt;6,VLOOKUP(Q64,'rekenhulp wateraanvoer in m3'!$C$72:$E$81,2,FALSE)/1000*Q59,VLOOKUP(Q64,'rekenhulp wateraanvoer in m3'!$C$72:$E$81,3,FALSE)/100*60*60*24*Q53*Q52),""),Q63)</f>
        <v/>
      </c>
      <c r="R67" s="405" t="str">
        <f>IF(R63="",IFERROR(IF(R64&lt;6,VLOOKUP(R64,'rekenhulp wateraanvoer in m3'!$C$72:$E$81,2,FALSE)/1000*R59,VLOOKUP(R64,'rekenhulp wateraanvoer in m3'!$C$72:$E$81,3,FALSE)/100*60*60*24*R53*R52),""),R63)</f>
        <v/>
      </c>
      <c r="S67" s="405" t="str">
        <f>IF(S63="",IFERROR(IF(S64&lt;6,VLOOKUP(S64,'rekenhulp wateraanvoer in m3'!$C$72:$E$81,2,FALSE)/1000*S59,VLOOKUP(S64,'rekenhulp wateraanvoer in m3'!$C$72:$E$81,3,FALSE)/100*60*60*24*S53*S52),""),S63)</f>
        <v/>
      </c>
      <c r="T67" s="405" t="str">
        <f>IF(T63="",IFERROR(IF(T64&lt;6,VLOOKUP(T64,'rekenhulp wateraanvoer in m3'!$C$72:$E$81,2,FALSE)/1000*T59,VLOOKUP(T64,'rekenhulp wateraanvoer in m3'!$C$72:$E$81,3,FALSE)/100*60*60*24*T53*T52),""),T63)</f>
        <v/>
      </c>
      <c r="U67" s="405" t="str">
        <f>IF(U63="",IFERROR(IF(U64&lt;6,VLOOKUP(U64,'rekenhulp wateraanvoer in m3'!$C$72:$E$81,2,FALSE)/1000*U59,VLOOKUP(U64,'rekenhulp wateraanvoer in m3'!$C$72:$E$81,3,FALSE)/100*60*60*24*U53*U52),""),U63)</f>
        <v/>
      </c>
      <c r="V67" s="406" t="str">
        <f>IF(V63="",IFERROR(IF(V64&lt;6,VLOOKUP(V64,'rekenhulp wateraanvoer in m3'!$C$72:$E$81,2,FALSE)/1000*V59,VLOOKUP(V64,'rekenhulp wateraanvoer in m3'!$C$72:$E$81,3,FALSE)/100*60*60*24*V53*V52),""),V63)</f>
        <v/>
      </c>
      <c r="W67" s="373"/>
      <c r="Y67" s="523"/>
    </row>
    <row r="68" spans="1:25" s="447" customFormat="1" ht="17.25" customHeight="1" x14ac:dyDescent="0.25">
      <c r="A68" s="366"/>
      <c r="B68" s="367"/>
      <c r="C68" s="529"/>
      <c r="D68" s="390" t="s">
        <v>366</v>
      </c>
      <c r="E68" s="404" t="s">
        <v>230</v>
      </c>
      <c r="F68" s="402"/>
      <c r="G68" s="393"/>
      <c r="H68" s="393"/>
      <c r="I68" s="393"/>
      <c r="J68" s="393"/>
      <c r="K68" s="405">
        <f>IFERROR(SUM(K12,K14,K16)/5,"")</f>
        <v>20</v>
      </c>
      <c r="L68" s="405">
        <f t="shared" ref="L68:V68" si="9">IFERROR(SUM(L12,L14,L16)/5,"")</f>
        <v>0</v>
      </c>
      <c r="M68" s="405">
        <f t="shared" si="9"/>
        <v>0</v>
      </c>
      <c r="N68" s="405">
        <f t="shared" si="9"/>
        <v>0</v>
      </c>
      <c r="O68" s="405">
        <f t="shared" si="9"/>
        <v>0</v>
      </c>
      <c r="P68" s="405">
        <f t="shared" si="9"/>
        <v>0</v>
      </c>
      <c r="Q68" s="405">
        <f t="shared" si="9"/>
        <v>0</v>
      </c>
      <c r="R68" s="405">
        <f t="shared" si="9"/>
        <v>0</v>
      </c>
      <c r="S68" s="405">
        <f t="shared" si="9"/>
        <v>0</v>
      </c>
      <c r="T68" s="405">
        <f t="shared" si="9"/>
        <v>0</v>
      </c>
      <c r="U68" s="405">
        <f t="shared" si="9"/>
        <v>0</v>
      </c>
      <c r="V68" s="406">
        <f t="shared" si="9"/>
        <v>0</v>
      </c>
      <c r="W68" s="373"/>
      <c r="Y68" s="522"/>
    </row>
    <row r="69" spans="1:25" s="447" customFormat="1" ht="17.25" customHeight="1" x14ac:dyDescent="0.25">
      <c r="A69" s="366"/>
      <c r="B69" s="367"/>
      <c r="C69" s="529"/>
      <c r="D69" s="495" t="s">
        <v>367</v>
      </c>
      <c r="E69" s="501" t="s">
        <v>230</v>
      </c>
      <c r="F69" s="402"/>
      <c r="G69" s="393"/>
      <c r="H69" s="393"/>
      <c r="I69" s="393"/>
      <c r="J69" s="393"/>
      <c r="K69" s="405">
        <f t="shared" ref="K69:V69" si="10">IFERROR((SUM(K20:K21)+0.5*SUM(K22:K23)+SUM(K13,K15,K17)/365),"")</f>
        <v>2.3698630136986303</v>
      </c>
      <c r="L69" s="405">
        <f t="shared" si="10"/>
        <v>0</v>
      </c>
      <c r="M69" s="405">
        <f t="shared" si="10"/>
        <v>0</v>
      </c>
      <c r="N69" s="405">
        <f t="shared" si="10"/>
        <v>0</v>
      </c>
      <c r="O69" s="405">
        <f t="shared" si="10"/>
        <v>0</v>
      </c>
      <c r="P69" s="405">
        <f t="shared" si="10"/>
        <v>0</v>
      </c>
      <c r="Q69" s="405">
        <f t="shared" si="10"/>
        <v>0</v>
      </c>
      <c r="R69" s="405">
        <f t="shared" si="10"/>
        <v>0</v>
      </c>
      <c r="S69" s="405">
        <f t="shared" si="10"/>
        <v>0</v>
      </c>
      <c r="T69" s="405">
        <f t="shared" si="10"/>
        <v>0</v>
      </c>
      <c r="U69" s="405">
        <f t="shared" si="10"/>
        <v>0</v>
      </c>
      <c r="V69" s="406">
        <f t="shared" si="10"/>
        <v>0</v>
      </c>
      <c r="W69" s="373"/>
      <c r="Y69" s="522"/>
    </row>
    <row r="70" spans="1:25" s="447" customFormat="1" ht="17.25" customHeight="1" thickBot="1" x14ac:dyDescent="0.3">
      <c r="A70" s="366"/>
      <c r="B70" s="367"/>
      <c r="C70" s="529"/>
      <c r="D70" s="407" t="s">
        <v>208</v>
      </c>
      <c r="E70" s="408" t="s">
        <v>184</v>
      </c>
      <c r="F70" s="409"/>
      <c r="G70" s="410"/>
      <c r="H70" s="410"/>
      <c r="I70" s="410"/>
      <c r="J70" s="410"/>
      <c r="K70" s="514">
        <f>IFERROR(SUM(K67,K69)/(24*60*60)/(K52*K53),"")</f>
        <v>3.5407946473871131E-4</v>
      </c>
      <c r="L70" s="514" t="str">
        <f t="shared" ref="L70:V70" si="11">IFERROR(SUM(L67,L69)/(24*60*60)/(L52*L53),"")</f>
        <v/>
      </c>
      <c r="M70" s="514" t="str">
        <f t="shared" si="11"/>
        <v/>
      </c>
      <c r="N70" s="514" t="str">
        <f t="shared" si="11"/>
        <v/>
      </c>
      <c r="O70" s="514" t="str">
        <f t="shared" si="11"/>
        <v/>
      </c>
      <c r="P70" s="514" t="str">
        <f t="shared" si="11"/>
        <v/>
      </c>
      <c r="Q70" s="514" t="str">
        <f t="shared" si="11"/>
        <v/>
      </c>
      <c r="R70" s="514" t="str">
        <f t="shared" si="11"/>
        <v/>
      </c>
      <c r="S70" s="514" t="str">
        <f t="shared" si="11"/>
        <v/>
      </c>
      <c r="T70" s="514" t="str">
        <f t="shared" si="11"/>
        <v/>
      </c>
      <c r="U70" s="514" t="str">
        <f t="shared" si="11"/>
        <v/>
      </c>
      <c r="V70" s="528" t="str">
        <f t="shared" si="11"/>
        <v/>
      </c>
      <c r="W70" s="373"/>
      <c r="Y70" s="522"/>
    </row>
    <row r="71" spans="1:25" ht="17.25" customHeight="1" x14ac:dyDescent="0.35">
      <c r="A71" s="361"/>
      <c r="B71" s="357"/>
      <c r="C71" s="530"/>
      <c r="D71" s="15"/>
      <c r="E71" s="6"/>
      <c r="F71" s="7"/>
      <c r="G71" s="13"/>
      <c r="H71" s="13"/>
      <c r="I71" s="340"/>
      <c r="J71" s="340"/>
      <c r="K71" s="13"/>
      <c r="L71" s="13"/>
      <c r="M71" s="13"/>
      <c r="N71" s="13"/>
      <c r="O71" s="13"/>
      <c r="P71" s="13"/>
      <c r="Q71" s="13"/>
      <c r="R71" s="13"/>
      <c r="S71" s="13"/>
      <c r="T71" s="13"/>
      <c r="U71" s="13"/>
      <c r="V71" s="13"/>
      <c r="W71" s="62"/>
      <c r="Y71" s="522"/>
    </row>
    <row r="72" spans="1:25" ht="17.25" customHeight="1" thickBot="1" x14ac:dyDescent="0.4">
      <c r="A72" s="361"/>
      <c r="B72" s="357"/>
      <c r="C72" s="530" t="s">
        <v>236</v>
      </c>
      <c r="D72" s="15"/>
      <c r="E72" s="6"/>
      <c r="F72" s="7"/>
      <c r="G72" s="13"/>
      <c r="H72" s="13"/>
      <c r="I72" s="13"/>
      <c r="J72" s="13"/>
      <c r="K72" s="17"/>
      <c r="L72" s="17"/>
      <c r="M72" s="17"/>
      <c r="N72" s="17"/>
      <c r="O72" s="17"/>
      <c r="P72" s="17"/>
      <c r="Q72" s="17"/>
      <c r="R72" s="17"/>
      <c r="S72" s="17"/>
      <c r="T72" s="17"/>
      <c r="U72" s="17"/>
      <c r="V72" s="17"/>
      <c r="W72" s="62"/>
      <c r="Y72" s="522"/>
    </row>
    <row r="73" spans="1:25" s="449" customFormat="1" ht="17.25" customHeight="1" x14ac:dyDescent="0.35">
      <c r="A73" s="374"/>
      <c r="B73" s="375"/>
      <c r="C73" s="375"/>
      <c r="D73" s="376" t="s">
        <v>307</v>
      </c>
      <c r="E73" s="296" t="s">
        <v>264</v>
      </c>
      <c r="F73" s="343" t="s">
        <v>265</v>
      </c>
      <c r="G73" s="377"/>
      <c r="H73" s="377"/>
      <c r="I73" s="377"/>
      <c r="J73" s="377"/>
      <c r="K73" s="344">
        <v>20</v>
      </c>
      <c r="L73" s="344">
        <v>20</v>
      </c>
      <c r="M73" s="344">
        <v>20</v>
      </c>
      <c r="N73" s="344">
        <v>20</v>
      </c>
      <c r="O73" s="344">
        <v>20</v>
      </c>
      <c r="P73" s="344">
        <v>20</v>
      </c>
      <c r="Q73" s="344">
        <v>20</v>
      </c>
      <c r="R73" s="344">
        <v>20</v>
      </c>
      <c r="S73" s="344">
        <v>20</v>
      </c>
      <c r="T73" s="344">
        <v>20</v>
      </c>
      <c r="U73" s="344">
        <v>20</v>
      </c>
      <c r="V73" s="345">
        <v>20</v>
      </c>
      <c r="W73" s="378"/>
      <c r="Y73" s="519"/>
    </row>
    <row r="74" spans="1:25" s="449" customFormat="1" ht="17.25" customHeight="1" x14ac:dyDescent="0.35">
      <c r="A74" s="374"/>
      <c r="B74" s="375"/>
      <c r="C74" s="533"/>
      <c r="D74" s="379" t="s">
        <v>214</v>
      </c>
      <c r="E74" s="3" t="s">
        <v>212</v>
      </c>
      <c r="F74" s="4" t="s">
        <v>213</v>
      </c>
      <c r="G74" s="13"/>
      <c r="H74" s="13"/>
      <c r="I74" s="13"/>
      <c r="J74" s="13"/>
      <c r="K74" s="297">
        <v>0.2</v>
      </c>
      <c r="L74" s="297"/>
      <c r="M74" s="297"/>
      <c r="N74" s="297"/>
      <c r="O74" s="297"/>
      <c r="P74" s="297"/>
      <c r="Q74" s="297"/>
      <c r="R74" s="297"/>
      <c r="S74" s="297"/>
      <c r="T74" s="297"/>
      <c r="U74" s="297"/>
      <c r="V74" s="298"/>
      <c r="W74" s="378"/>
      <c r="Y74" s="519"/>
    </row>
    <row r="75" spans="1:25" s="449" customFormat="1" ht="17.25" customHeight="1" x14ac:dyDescent="0.35">
      <c r="A75" s="374"/>
      <c r="B75" s="375"/>
      <c r="C75" s="533"/>
      <c r="D75" s="379" t="s">
        <v>306</v>
      </c>
      <c r="E75" s="3" t="s">
        <v>14</v>
      </c>
      <c r="F75" s="4" t="s">
        <v>305</v>
      </c>
      <c r="G75" s="13"/>
      <c r="H75" s="13"/>
      <c r="I75" s="13"/>
      <c r="J75" s="13"/>
      <c r="K75" s="8">
        <v>2</v>
      </c>
      <c r="L75" s="9"/>
      <c r="M75" s="8"/>
      <c r="N75" s="8"/>
      <c r="O75" s="9"/>
      <c r="P75" s="8"/>
      <c r="Q75" s="8"/>
      <c r="R75" s="8"/>
      <c r="S75" s="8"/>
      <c r="T75" s="8"/>
      <c r="U75" s="8"/>
      <c r="V75" s="275"/>
      <c r="W75" s="378"/>
      <c r="Y75" s="524"/>
    </row>
    <row r="76" spans="1:25" s="450" customFormat="1" ht="17.25" customHeight="1" x14ac:dyDescent="0.35">
      <c r="A76" s="374"/>
      <c r="B76" s="375"/>
      <c r="C76" s="534"/>
      <c r="D76" s="380"/>
      <c r="E76" s="341"/>
      <c r="F76" s="342"/>
      <c r="G76" s="13"/>
      <c r="H76" s="13"/>
      <c r="I76" s="13"/>
      <c r="J76" s="13"/>
      <c r="K76" s="342"/>
      <c r="L76" s="342"/>
      <c r="M76" s="342"/>
      <c r="N76" s="342"/>
      <c r="O76" s="342"/>
      <c r="P76" s="342"/>
      <c r="Q76" s="342"/>
      <c r="R76" s="342"/>
      <c r="S76" s="342"/>
      <c r="T76" s="342"/>
      <c r="U76" s="342"/>
      <c r="V76" s="347"/>
      <c r="W76" s="381"/>
      <c r="Y76" s="524"/>
    </row>
    <row r="77" spans="1:25" s="449" customFormat="1" ht="17.25" customHeight="1" x14ac:dyDescent="0.35">
      <c r="A77" s="374"/>
      <c r="B77" s="375"/>
      <c r="C77" s="533"/>
      <c r="D77" s="382" t="s">
        <v>283</v>
      </c>
      <c r="E77" s="6"/>
      <c r="F77" s="7"/>
      <c r="G77" s="13"/>
      <c r="H77" s="13"/>
      <c r="I77" s="13"/>
      <c r="J77" s="13"/>
      <c r="K77" s="6"/>
      <c r="L77" s="6"/>
      <c r="M77" s="6"/>
      <c r="N77" s="6"/>
      <c r="O77" s="6"/>
      <c r="P77" s="6"/>
      <c r="Q77" s="6"/>
      <c r="R77" s="6"/>
      <c r="S77" s="6"/>
      <c r="T77" s="6"/>
      <c r="U77" s="6"/>
      <c r="V77" s="346"/>
      <c r="W77" s="378"/>
      <c r="Y77" s="524"/>
    </row>
    <row r="78" spans="1:25" s="449" customFormat="1" ht="17.25" customHeight="1" thickBot="1" x14ac:dyDescent="0.4">
      <c r="A78" s="374"/>
      <c r="B78" s="375"/>
      <c r="C78" s="533"/>
      <c r="D78" s="349" t="s">
        <v>271</v>
      </c>
      <c r="E78" s="348" t="s">
        <v>270</v>
      </c>
      <c r="F78" s="486" t="s">
        <v>308</v>
      </c>
      <c r="G78" s="69"/>
      <c r="H78" s="69"/>
      <c r="I78" s="69"/>
      <c r="J78" s="69"/>
      <c r="K78" s="285">
        <f>IFERROR(zuurstofberekening!F10,"")</f>
        <v>0.16000000000000003</v>
      </c>
      <c r="L78" s="285" t="str">
        <f>IFERROR(zuurstofberekening!G10,"")</f>
        <v/>
      </c>
      <c r="M78" s="285" t="str">
        <f>IFERROR(zuurstofberekening!H10,"")</f>
        <v/>
      </c>
      <c r="N78" s="285" t="str">
        <f>IFERROR(zuurstofberekening!I10,"")</f>
        <v/>
      </c>
      <c r="O78" s="285" t="str">
        <f>IFERROR(zuurstofberekening!J10,"")</f>
        <v/>
      </c>
      <c r="P78" s="285" t="str">
        <f>IFERROR(zuurstofberekening!K10,"")</f>
        <v/>
      </c>
      <c r="Q78" s="285" t="str">
        <f>IFERROR(zuurstofberekening!L10,"")</f>
        <v/>
      </c>
      <c r="R78" s="285" t="str">
        <f>IFERROR(zuurstofberekening!M10,"")</f>
        <v/>
      </c>
      <c r="S78" s="285" t="str">
        <f>IFERROR(zuurstofberekening!N10,"")</f>
        <v/>
      </c>
      <c r="T78" s="285" t="str">
        <f>IFERROR(zuurstofberekening!O10,"")</f>
        <v/>
      </c>
      <c r="U78" s="285" t="str">
        <f>IFERROR(zuurstofberekening!P10,"")</f>
        <v/>
      </c>
      <c r="V78" s="286" t="str">
        <f>IFERROR(zuurstofberekening!Q10,"")</f>
        <v/>
      </c>
      <c r="W78" s="378"/>
      <c r="Y78" s="525"/>
    </row>
    <row r="79" spans="1:25" ht="17.25" customHeight="1" x14ac:dyDescent="0.35">
      <c r="A79" s="361"/>
      <c r="B79" s="357"/>
      <c r="C79" s="530"/>
      <c r="D79" s="15"/>
      <c r="E79" s="6"/>
      <c r="F79" s="7"/>
      <c r="G79" s="13"/>
      <c r="H79" s="13"/>
      <c r="I79" s="13"/>
      <c r="J79" s="13"/>
      <c r="K79" s="13"/>
      <c r="L79" s="13"/>
      <c r="M79" s="13"/>
      <c r="N79" s="13"/>
      <c r="O79" s="13"/>
      <c r="P79" s="13"/>
      <c r="Q79" s="13"/>
      <c r="R79" s="13"/>
      <c r="S79" s="13"/>
      <c r="T79" s="13"/>
      <c r="U79" s="13"/>
      <c r="V79" s="13"/>
      <c r="W79" s="62"/>
      <c r="Y79" s="524"/>
    </row>
    <row r="80" spans="1:25" ht="17.25" customHeight="1" thickBot="1" x14ac:dyDescent="0.4">
      <c r="A80" s="361"/>
      <c r="B80" s="357"/>
      <c r="C80" s="530" t="s">
        <v>233</v>
      </c>
      <c r="D80" s="15"/>
      <c r="E80" s="6"/>
      <c r="F80" s="7"/>
      <c r="G80" s="13"/>
      <c r="H80" s="13"/>
      <c r="I80" s="13"/>
      <c r="J80" s="13"/>
      <c r="K80" s="17"/>
      <c r="L80" s="17"/>
      <c r="M80" s="17"/>
      <c r="N80" s="17"/>
      <c r="O80" s="17"/>
      <c r="P80" s="17"/>
      <c r="Q80" s="17"/>
      <c r="R80" s="17"/>
      <c r="S80" s="17"/>
      <c r="T80" s="17"/>
      <c r="U80" s="17"/>
      <c r="V80" s="17"/>
      <c r="W80" s="62"/>
      <c r="Y80" s="524"/>
    </row>
    <row r="81" spans="1:25" s="447" customFormat="1" ht="17.25" customHeight="1" x14ac:dyDescent="0.25">
      <c r="A81" s="366"/>
      <c r="B81" s="367"/>
      <c r="C81" s="531"/>
      <c r="D81" s="383" t="s">
        <v>124</v>
      </c>
      <c r="E81" s="384" t="s">
        <v>231</v>
      </c>
      <c r="F81" s="419" t="s">
        <v>125</v>
      </c>
      <c r="G81" s="387"/>
      <c r="H81" s="387"/>
      <c r="I81" s="387"/>
      <c r="J81" s="387"/>
      <c r="K81" s="371">
        <v>6</v>
      </c>
      <c r="L81" s="371">
        <v>6</v>
      </c>
      <c r="M81" s="371">
        <v>6</v>
      </c>
      <c r="N81" s="371">
        <v>6</v>
      </c>
      <c r="O81" s="371">
        <v>6</v>
      </c>
      <c r="P81" s="371">
        <v>6</v>
      </c>
      <c r="Q81" s="371">
        <v>6</v>
      </c>
      <c r="R81" s="371">
        <v>6</v>
      </c>
      <c r="S81" s="371">
        <v>6</v>
      </c>
      <c r="T81" s="371">
        <v>6</v>
      </c>
      <c r="U81" s="371">
        <v>6</v>
      </c>
      <c r="V81" s="372">
        <v>6</v>
      </c>
      <c r="W81" s="373"/>
      <c r="Y81" s="519"/>
    </row>
    <row r="82" spans="1:25" s="447" customFormat="1" ht="17.25" customHeight="1" x14ac:dyDescent="0.25">
      <c r="A82" s="366"/>
      <c r="B82" s="367"/>
      <c r="C82" s="531"/>
      <c r="D82" s="413" t="s">
        <v>163</v>
      </c>
      <c r="E82" s="404" t="s">
        <v>232</v>
      </c>
      <c r="F82" s="420" t="s">
        <v>125</v>
      </c>
      <c r="G82" s="393"/>
      <c r="H82" s="393"/>
      <c r="I82" s="393"/>
      <c r="J82" s="393"/>
      <c r="K82" s="394">
        <v>0.2</v>
      </c>
      <c r="L82" s="394">
        <v>0.2</v>
      </c>
      <c r="M82" s="394">
        <v>0.2</v>
      </c>
      <c r="N82" s="394">
        <v>0.2</v>
      </c>
      <c r="O82" s="394">
        <v>0.2</v>
      </c>
      <c r="P82" s="394">
        <v>0.2</v>
      </c>
      <c r="Q82" s="394">
        <v>0.2</v>
      </c>
      <c r="R82" s="394">
        <v>0.2</v>
      </c>
      <c r="S82" s="394">
        <v>0.2</v>
      </c>
      <c r="T82" s="394">
        <v>0.2</v>
      </c>
      <c r="U82" s="394">
        <v>0.2</v>
      </c>
      <c r="V82" s="396">
        <v>0.2</v>
      </c>
      <c r="W82" s="373"/>
      <c r="Y82" s="519"/>
    </row>
    <row r="83" spans="1:25" s="447" customFormat="1" ht="17.25" customHeight="1" thickBot="1" x14ac:dyDescent="0.3">
      <c r="A83" s="366"/>
      <c r="B83" s="367"/>
      <c r="C83" s="531"/>
      <c r="D83" s="421" t="s">
        <v>127</v>
      </c>
      <c r="E83" s="408" t="s">
        <v>380</v>
      </c>
      <c r="F83" s="422" t="s">
        <v>125</v>
      </c>
      <c r="G83" s="410"/>
      <c r="H83" s="410"/>
      <c r="I83" s="410"/>
      <c r="J83" s="410"/>
      <c r="K83" s="423">
        <v>2</v>
      </c>
      <c r="L83" s="423">
        <v>2</v>
      </c>
      <c r="M83" s="423">
        <v>2</v>
      </c>
      <c r="N83" s="423">
        <v>2</v>
      </c>
      <c r="O83" s="423">
        <v>2</v>
      </c>
      <c r="P83" s="423">
        <v>2</v>
      </c>
      <c r="Q83" s="423">
        <v>2</v>
      </c>
      <c r="R83" s="423">
        <v>2</v>
      </c>
      <c r="S83" s="423">
        <v>2</v>
      </c>
      <c r="T83" s="423">
        <v>2</v>
      </c>
      <c r="U83" s="423">
        <v>2</v>
      </c>
      <c r="V83" s="424">
        <v>2</v>
      </c>
      <c r="W83" s="373"/>
      <c r="Y83" s="522"/>
    </row>
    <row r="84" spans="1:25" ht="17.25" customHeight="1" x14ac:dyDescent="0.35">
      <c r="A84" s="361"/>
      <c r="B84" s="357"/>
      <c r="C84" s="530"/>
      <c r="D84" s="15"/>
      <c r="E84" s="6"/>
      <c r="F84" s="7"/>
      <c r="G84" s="13"/>
      <c r="H84" s="13"/>
      <c r="I84" s="13"/>
      <c r="J84" s="13"/>
      <c r="K84" s="17"/>
      <c r="L84" s="17"/>
      <c r="M84" s="17"/>
      <c r="N84" s="17"/>
      <c r="O84" s="17"/>
      <c r="P84" s="17"/>
      <c r="Q84" s="17"/>
      <c r="R84" s="17"/>
      <c r="S84" s="17"/>
      <c r="T84" s="17"/>
      <c r="U84" s="17"/>
      <c r="V84" s="17"/>
      <c r="W84" s="62"/>
      <c r="Y84" s="522"/>
    </row>
    <row r="85" spans="1:25" s="71" customFormat="1" ht="17.25" customHeight="1" thickBot="1" x14ac:dyDescent="0.4">
      <c r="A85" s="361"/>
      <c r="B85" s="357"/>
      <c r="C85" s="530" t="s">
        <v>312</v>
      </c>
      <c r="D85" s="14"/>
      <c r="E85" s="63"/>
      <c r="F85" s="64"/>
      <c r="G85" s="32"/>
      <c r="H85" s="32"/>
      <c r="I85" s="32"/>
      <c r="J85" s="32"/>
      <c r="K85" s="63"/>
      <c r="L85" s="63"/>
      <c r="M85" s="63"/>
      <c r="N85" s="63"/>
      <c r="O85" s="63"/>
      <c r="P85" s="63"/>
      <c r="Q85" s="63"/>
      <c r="R85" s="63"/>
      <c r="S85" s="63"/>
      <c r="T85" s="63"/>
      <c r="U85" s="63"/>
      <c r="V85" s="63"/>
      <c r="W85" s="65"/>
      <c r="Y85" s="522"/>
    </row>
    <row r="86" spans="1:25" s="452" customFormat="1" ht="15" customHeight="1" x14ac:dyDescent="0.35">
      <c r="A86" s="487"/>
      <c r="B86" s="488"/>
      <c r="C86" s="488"/>
      <c r="D86" s="742" t="s">
        <v>411</v>
      </c>
      <c r="E86" s="743" t="s">
        <v>380</v>
      </c>
      <c r="F86" s="419" t="s">
        <v>378</v>
      </c>
      <c r="G86" s="76"/>
      <c r="H86" s="76"/>
      <c r="I86" s="76"/>
      <c r="J86" s="76"/>
      <c r="K86" s="459">
        <f>IFERROR(zuurstofberekening!F61,"")</f>
        <v>0.50932034467457821</v>
      </c>
      <c r="L86" s="459" t="str">
        <f>IFERROR(zuurstofberekening!G61,"")</f>
        <v/>
      </c>
      <c r="M86" s="459" t="str">
        <f>IFERROR(zuurstofberekening!H61,"")</f>
        <v/>
      </c>
      <c r="N86" s="459" t="str">
        <f>IFERROR(zuurstofberekening!I61,"")</f>
        <v/>
      </c>
      <c r="O86" s="459" t="str">
        <f>IFERROR(zuurstofberekening!J61,"")</f>
        <v/>
      </c>
      <c r="P86" s="459" t="str">
        <f>IFERROR(zuurstofberekening!K61,"")</f>
        <v/>
      </c>
      <c r="Q86" s="459" t="str">
        <f>IFERROR(zuurstofberekening!L61,"")</f>
        <v/>
      </c>
      <c r="R86" s="459" t="str">
        <f>IFERROR(zuurstofberekening!M61,"")</f>
        <v/>
      </c>
      <c r="S86" s="459" t="str">
        <f>IFERROR(zuurstofberekening!N61,"")</f>
        <v/>
      </c>
      <c r="T86" s="459" t="str">
        <f>IFERROR(zuurstofberekening!O61,"")</f>
        <v/>
      </c>
      <c r="U86" s="459" t="str">
        <f>IFERROR(zuurstofberekening!P61,"")</f>
        <v/>
      </c>
      <c r="V86" s="460" t="str">
        <f>IFERROR(zuurstofberekening!Q61,"")</f>
        <v/>
      </c>
      <c r="W86" s="389"/>
      <c r="Y86" s="519"/>
    </row>
    <row r="87" spans="1:25" s="452" customFormat="1" ht="15" customHeight="1" x14ac:dyDescent="0.35">
      <c r="A87" s="487"/>
      <c r="B87" s="488"/>
      <c r="C87" s="488"/>
      <c r="D87" s="741"/>
      <c r="E87" s="744"/>
      <c r="F87" s="420" t="s">
        <v>379</v>
      </c>
      <c r="G87" s="13"/>
      <c r="H87" s="13"/>
      <c r="I87" s="13"/>
      <c r="J87" s="13"/>
      <c r="K87" s="461">
        <f>IF(IFERROR(zuurstofberekening!F62-zuurstofberekening!F61,0)=0,"",zuurstofberekening!F62)</f>
        <v>2.354698400403163</v>
      </c>
      <c r="L87" s="461" t="str">
        <f>IF(IFERROR(zuurstofberekening!G62-zuurstofberekening!G61,0)=0,"",zuurstofberekening!G62)</f>
        <v/>
      </c>
      <c r="M87" s="461" t="str">
        <f>IF(IFERROR(zuurstofberekening!H62-zuurstofberekening!H61,0)=0,"",zuurstofberekening!H62)</f>
        <v/>
      </c>
      <c r="N87" s="461" t="str">
        <f>IF(IFERROR(zuurstofberekening!I62-zuurstofberekening!I61,0)=0,"",zuurstofberekening!I62)</f>
        <v/>
      </c>
      <c r="O87" s="461" t="str">
        <f>IF(IFERROR(zuurstofberekening!J62-zuurstofberekening!J61,0)=0,"",zuurstofberekening!J62)</f>
        <v/>
      </c>
      <c r="P87" s="461" t="str">
        <f>IF(IFERROR(zuurstofberekening!K62-zuurstofberekening!K61,0)=0,"",zuurstofberekening!K62)</f>
        <v/>
      </c>
      <c r="Q87" s="461" t="str">
        <f>IF(IFERROR(zuurstofberekening!L62-zuurstofberekening!L61,0)=0,"",zuurstofberekening!L62)</f>
        <v/>
      </c>
      <c r="R87" s="461" t="str">
        <f>IF(IFERROR(zuurstofberekening!M62-zuurstofberekening!M61,0)=0,"",zuurstofberekening!M62)</f>
        <v/>
      </c>
      <c r="S87" s="461" t="str">
        <f>IF(IFERROR(zuurstofberekening!N62-zuurstofberekening!N61,0)=0,"",zuurstofberekening!N62)</f>
        <v/>
      </c>
      <c r="T87" s="461" t="str">
        <f>IF(IFERROR(zuurstofberekening!O62-zuurstofberekening!O61,0)=0,"",zuurstofberekening!O62)</f>
        <v/>
      </c>
      <c r="U87" s="461" t="str">
        <f>IF(IFERROR(zuurstofberekening!P62-zuurstofberekening!P61,0)=0,"",zuurstofberekening!P62)</f>
        <v/>
      </c>
      <c r="V87" s="462" t="str">
        <f>IF(IFERROR(zuurstofberekening!Q62-zuurstofberekening!Q61,0)=0,"",zuurstofberekening!Q62)</f>
        <v/>
      </c>
      <c r="W87" s="389"/>
      <c r="Y87" s="521"/>
    </row>
    <row r="88" spans="1:25" s="452" customFormat="1" ht="15" customHeight="1" x14ac:dyDescent="0.35">
      <c r="A88" s="487"/>
      <c r="B88" s="488"/>
      <c r="C88" s="488"/>
      <c r="D88" s="739" t="s">
        <v>311</v>
      </c>
      <c r="E88" s="727" t="s">
        <v>310</v>
      </c>
      <c r="F88" s="420" t="s">
        <v>378</v>
      </c>
      <c r="G88" s="13"/>
      <c r="H88" s="13"/>
      <c r="I88" s="13"/>
      <c r="J88" s="13"/>
      <c r="K88" s="461">
        <f>IFERROR(zuurstofberekening!F63,"")</f>
        <v>0.1647964541763485</v>
      </c>
      <c r="L88" s="461" t="str">
        <f>IFERROR(zuurstofberekening!G63,"")</f>
        <v/>
      </c>
      <c r="M88" s="461" t="str">
        <f>IFERROR(zuurstofberekening!H63,"")</f>
        <v/>
      </c>
      <c r="N88" s="461" t="str">
        <f>IFERROR(zuurstofberekening!I63,"")</f>
        <v/>
      </c>
      <c r="O88" s="461" t="str">
        <f>IFERROR(zuurstofberekening!J63,"")</f>
        <v/>
      </c>
      <c r="P88" s="461" t="str">
        <f>IFERROR(zuurstofberekening!K63,"")</f>
        <v/>
      </c>
      <c r="Q88" s="461" t="str">
        <f>IFERROR(zuurstofberekening!L63,"")</f>
        <v/>
      </c>
      <c r="R88" s="461" t="str">
        <f>IFERROR(zuurstofberekening!M63,"")</f>
        <v/>
      </c>
      <c r="S88" s="461" t="str">
        <f>IFERROR(zuurstofberekening!N63,"")</f>
        <v/>
      </c>
      <c r="T88" s="461" t="str">
        <f>IFERROR(zuurstofberekening!O63,"")</f>
        <v/>
      </c>
      <c r="U88" s="461" t="str">
        <f>IFERROR(zuurstofberekening!P63,"")</f>
        <v/>
      </c>
      <c r="V88" s="462" t="str">
        <f>IFERROR(zuurstofberekening!Q63,"")</f>
        <v/>
      </c>
      <c r="W88" s="389"/>
      <c r="Y88" s="526"/>
    </row>
    <row r="89" spans="1:25" s="452" customFormat="1" ht="15" customHeight="1" x14ac:dyDescent="0.35">
      <c r="A89" s="487"/>
      <c r="B89" s="488"/>
      <c r="C89" s="488"/>
      <c r="D89" s="741"/>
      <c r="E89" s="744"/>
      <c r="F89" s="420" t="s">
        <v>379</v>
      </c>
      <c r="G89" s="13"/>
      <c r="H89" s="13"/>
      <c r="I89" s="13"/>
      <c r="J89" s="13"/>
      <c r="K89" s="461">
        <f>IF(IFERROR(zuurstofberekening!F64-zuurstofberekening!F63,0)=0,"",zuurstofberekening!F64)</f>
        <v>0.46365639606255382</v>
      </c>
      <c r="L89" s="461" t="str">
        <f>IF(IFERROR(zuurstofberekening!G64-zuurstofberekening!G63,0)=0,"",zuurstofberekening!G64)</f>
        <v/>
      </c>
      <c r="M89" s="461" t="str">
        <f>IF(IFERROR(zuurstofberekening!H64-zuurstofberekening!H63,0)=0,"",zuurstofberekening!H64)</f>
        <v/>
      </c>
      <c r="N89" s="461" t="str">
        <f>IF(IFERROR(zuurstofberekening!I64-zuurstofberekening!I63,0)=0,"",zuurstofberekening!I64)</f>
        <v/>
      </c>
      <c r="O89" s="461" t="str">
        <f>IF(IFERROR(zuurstofberekening!J64-zuurstofberekening!J63,0)=0,"",zuurstofberekening!J64)</f>
        <v/>
      </c>
      <c r="P89" s="461" t="str">
        <f>IF(IFERROR(zuurstofberekening!K64-zuurstofberekening!K63,0)=0,"",zuurstofberekening!K64)</f>
        <v/>
      </c>
      <c r="Q89" s="461" t="str">
        <f>IF(IFERROR(zuurstofberekening!L64-zuurstofberekening!L63,0)=0,"",zuurstofberekening!L64)</f>
        <v/>
      </c>
      <c r="R89" s="461" t="str">
        <f>IF(IFERROR(zuurstofberekening!M64-zuurstofberekening!M63,0)=0,"",zuurstofberekening!M64)</f>
        <v/>
      </c>
      <c r="S89" s="461" t="str">
        <f>IF(IFERROR(zuurstofberekening!N64-zuurstofberekening!N63,0)=0,"",zuurstofberekening!N64)</f>
        <v/>
      </c>
      <c r="T89" s="461" t="str">
        <f>IF(IFERROR(zuurstofberekening!O64-zuurstofberekening!O63,0)=0,"",zuurstofberekening!O64)</f>
        <v/>
      </c>
      <c r="U89" s="461" t="str">
        <f>IF(IFERROR(zuurstofberekening!P64-zuurstofberekening!P63,0)=0,"",zuurstofberekening!P64)</f>
        <v/>
      </c>
      <c r="V89" s="462" t="str">
        <f>IF(IFERROR(zuurstofberekening!Q64-zuurstofberekening!Q63,0)=0,"",zuurstofberekening!Q64)</f>
        <v/>
      </c>
      <c r="W89" s="389"/>
      <c r="Y89" s="526"/>
    </row>
    <row r="90" spans="1:25" s="452" customFormat="1" ht="15" customHeight="1" x14ac:dyDescent="0.35">
      <c r="A90" s="487"/>
      <c r="B90" s="488"/>
      <c r="C90" s="488"/>
      <c r="D90" s="739" t="s">
        <v>115</v>
      </c>
      <c r="E90" s="727" t="s">
        <v>313</v>
      </c>
      <c r="F90" s="420" t="s">
        <v>378</v>
      </c>
      <c r="G90" s="13"/>
      <c r="H90" s="13"/>
      <c r="I90" s="13"/>
      <c r="J90" s="13"/>
      <c r="K90" s="461">
        <f>IFERROR(zuurstofberekening!F66,"")</f>
        <v>5.4482953967183807</v>
      </c>
      <c r="L90" s="461" t="str">
        <f>IFERROR(zuurstofberekening!G66,"")</f>
        <v/>
      </c>
      <c r="M90" s="461" t="str">
        <f>IFERROR(zuurstofberekening!H66,"")</f>
        <v/>
      </c>
      <c r="N90" s="461" t="str">
        <f>IFERROR(zuurstofberekening!I66,"")</f>
        <v/>
      </c>
      <c r="O90" s="461" t="str">
        <f>IFERROR(zuurstofberekening!J66,"")</f>
        <v/>
      </c>
      <c r="P90" s="461" t="str">
        <f>IFERROR(zuurstofberekening!K66,"")</f>
        <v/>
      </c>
      <c r="Q90" s="461" t="str">
        <f>IFERROR(zuurstofberekening!L66,"")</f>
        <v/>
      </c>
      <c r="R90" s="461" t="str">
        <f>IFERROR(zuurstofberekening!M66,"")</f>
        <v/>
      </c>
      <c r="S90" s="461" t="str">
        <f>IFERROR(zuurstofberekening!N66,"")</f>
        <v/>
      </c>
      <c r="T90" s="461" t="str">
        <f>IFERROR(zuurstofberekening!O66,"")</f>
        <v/>
      </c>
      <c r="U90" s="461" t="str">
        <f>IFERROR(zuurstofberekening!P66,"")</f>
        <v/>
      </c>
      <c r="V90" s="462" t="str">
        <f>IFERROR(zuurstofberekening!Q66,"")</f>
        <v/>
      </c>
      <c r="W90" s="389"/>
      <c r="Y90" s="526"/>
    </row>
    <row r="91" spans="1:25" s="448" customFormat="1" ht="17.25" customHeight="1" thickBot="1" x14ac:dyDescent="0.3">
      <c r="A91" s="463"/>
      <c r="B91" s="464"/>
      <c r="C91" s="535"/>
      <c r="D91" s="740"/>
      <c r="E91" s="728"/>
      <c r="F91" s="422" t="s">
        <v>379</v>
      </c>
      <c r="G91" s="410"/>
      <c r="H91" s="410"/>
      <c r="I91" s="410"/>
      <c r="J91" s="410"/>
      <c r="K91" s="465">
        <f>IF(IFERROR(zuurstofberekening!F67-zuurstofberekening!F66,0)=0,"",zuurstofberekening!F67)</f>
        <v>3.259218056908181</v>
      </c>
      <c r="L91" s="465" t="str">
        <f>IF(IFERROR(zuurstofberekening!G67-zuurstofberekening!G66,0)=0,"",zuurstofberekening!G67)</f>
        <v/>
      </c>
      <c r="M91" s="465" t="str">
        <f>IF(IFERROR(zuurstofberekening!H67-zuurstofberekening!H66,0)=0,"",zuurstofberekening!H67)</f>
        <v/>
      </c>
      <c r="N91" s="465" t="str">
        <f>IF(IFERROR(zuurstofberekening!I67-zuurstofberekening!I66,0)=0,"",zuurstofberekening!I67)</f>
        <v/>
      </c>
      <c r="O91" s="465" t="str">
        <f>IF(IFERROR(zuurstofberekening!J67-zuurstofberekening!J66,0)=0,"",zuurstofberekening!J67)</f>
        <v/>
      </c>
      <c r="P91" s="465" t="str">
        <f>IF(IFERROR(zuurstofberekening!K67-zuurstofberekening!K66,0)=0,"",zuurstofberekening!K67)</f>
        <v/>
      </c>
      <c r="Q91" s="465" t="str">
        <f>IF(IFERROR(zuurstofberekening!L67-zuurstofberekening!L66,0)=0,"",zuurstofberekening!L67)</f>
        <v/>
      </c>
      <c r="R91" s="465" t="str">
        <f>IF(IFERROR(zuurstofberekening!M67-zuurstofberekening!M66,0)=0,"",zuurstofberekening!M67)</f>
        <v/>
      </c>
      <c r="S91" s="465" t="str">
        <f>IF(IFERROR(zuurstofberekening!N67-zuurstofberekening!N66,0)=0,"",zuurstofberekening!N67)</f>
        <v/>
      </c>
      <c r="T91" s="465" t="str">
        <f>IF(IFERROR(zuurstofberekening!O67-zuurstofberekening!O66,0)=0,"",zuurstofberekening!O67)</f>
        <v/>
      </c>
      <c r="U91" s="465" t="str">
        <f>IF(IFERROR(zuurstofberekening!P67-zuurstofberekening!P66,0)=0,"",zuurstofberekening!P67)</f>
        <v/>
      </c>
      <c r="V91" s="466" t="str">
        <f>IF(IFERROR(zuurstofberekening!Q67-zuurstofberekening!Q66,0)=0,"",zuurstofberekening!Q67)</f>
        <v/>
      </c>
      <c r="W91" s="389"/>
      <c r="Y91" s="526"/>
    </row>
    <row r="92" spans="1:25" ht="17.25" customHeight="1" x14ac:dyDescent="0.35">
      <c r="A92" s="361"/>
      <c r="B92" s="357"/>
      <c r="C92" s="530"/>
      <c r="D92" s="15"/>
      <c r="E92" s="6"/>
      <c r="F92" s="7"/>
      <c r="G92" s="13"/>
      <c r="H92" s="13"/>
      <c r="I92" s="13"/>
      <c r="J92" s="13"/>
      <c r="K92" s="6"/>
      <c r="L92" s="6"/>
      <c r="M92" s="6"/>
      <c r="N92" s="6"/>
      <c r="O92" s="6"/>
      <c r="P92" s="6"/>
      <c r="Q92" s="6"/>
      <c r="R92" s="6"/>
      <c r="S92" s="6"/>
      <c r="T92" s="6"/>
      <c r="U92" s="6"/>
      <c r="V92" s="6"/>
      <c r="W92" s="62"/>
      <c r="Y92" s="526"/>
    </row>
    <row r="93" spans="1:25" s="71" customFormat="1" ht="17.25" customHeight="1" thickBot="1" x14ac:dyDescent="0.4">
      <c r="A93" s="361"/>
      <c r="B93" s="357"/>
      <c r="C93" s="530" t="s">
        <v>17</v>
      </c>
      <c r="D93" s="14"/>
      <c r="E93" s="63"/>
      <c r="F93" s="64"/>
      <c r="G93" s="32"/>
      <c r="H93" s="32"/>
      <c r="I93" s="32"/>
      <c r="J93" s="32"/>
      <c r="K93" s="63"/>
      <c r="L93" s="63"/>
      <c r="M93" s="63"/>
      <c r="N93" s="63"/>
      <c r="O93" s="63"/>
      <c r="P93" s="63"/>
      <c r="Q93" s="63"/>
      <c r="R93" s="63"/>
      <c r="S93" s="63"/>
      <c r="T93" s="63"/>
      <c r="U93" s="63"/>
      <c r="V93" s="63"/>
      <c r="W93" s="65"/>
      <c r="Y93" s="523"/>
    </row>
    <row r="94" spans="1:25" s="451" customFormat="1" ht="17.25" customHeight="1" x14ac:dyDescent="0.25">
      <c r="A94" s="366"/>
      <c r="B94" s="367"/>
      <c r="C94" s="367"/>
      <c r="D94" s="383" t="s">
        <v>60</v>
      </c>
      <c r="E94" s="384" t="s">
        <v>34</v>
      </c>
      <c r="F94" s="431"/>
      <c r="G94" s="432"/>
      <c r="H94" s="432"/>
      <c r="I94" s="432"/>
      <c r="J94" s="432"/>
      <c r="K94" s="384" t="str">
        <f>IFERROR(VLOOKUP((K42+K44+4.57*K43),zuurstofberekening!$B$60:$C$310,2,TRUE),"")</f>
        <v>matig</v>
      </c>
      <c r="L94" s="384" t="str">
        <f>IFERROR(VLOOKUP((L42+L44+4.57*L43),zuurstofberekening!$B$60:$C$310,2,TRUE),"")</f>
        <v/>
      </c>
      <c r="M94" s="384" t="str">
        <f>IFERROR(VLOOKUP((M42+M44+4.57*M43),zuurstofberekening!$B$60:$C$310,2,TRUE),"")</f>
        <v/>
      </c>
      <c r="N94" s="384" t="str">
        <f>IFERROR(VLOOKUP((N42+N44+4.57*N43),zuurstofberekening!$B$60:$C$310,2,TRUE),"")</f>
        <v/>
      </c>
      <c r="O94" s="384" t="str">
        <f>IFERROR(VLOOKUP((O42+O44+4.57*O43),zuurstofberekening!$B$60:$C$310,2,TRUE),"")</f>
        <v/>
      </c>
      <c r="P94" s="384" t="str">
        <f>IFERROR(VLOOKUP((P42+P44+4.57*P43),zuurstofberekening!$B$60:$C$310,2,TRUE),"")</f>
        <v/>
      </c>
      <c r="Q94" s="384" t="str">
        <f>IFERROR(VLOOKUP((Q42+Q44+4.57*Q43),zuurstofberekening!$B$60:$C$310,2,TRUE),"")</f>
        <v/>
      </c>
      <c r="R94" s="384" t="str">
        <f>IFERROR(VLOOKUP((R42+R44+4.57*R43),zuurstofberekening!$B$60:$C$310,2,TRUE),"")</f>
        <v/>
      </c>
      <c r="S94" s="384" t="str">
        <f>IFERROR(VLOOKUP((S42+S44+4.57*S43),zuurstofberekening!$B$60:$C$310,2,TRUE),"")</f>
        <v/>
      </c>
      <c r="T94" s="384" t="str">
        <f>IFERROR(VLOOKUP((T42+T44+4.57*T43),zuurstofberekening!$B$60:$C$310,2,TRUE),"")</f>
        <v/>
      </c>
      <c r="U94" s="384" t="str">
        <f>IFERROR(VLOOKUP((U42+U44+4.57*U43),zuurstofberekening!$B$60:$C$310,2,TRUE),"")</f>
        <v/>
      </c>
      <c r="V94" s="433" t="str">
        <f>IFERROR(VLOOKUP((V42+V44+4.57*V43),zuurstofberekening!$B$60:$C$310,2,TRUE),"")</f>
        <v/>
      </c>
      <c r="W94" s="434"/>
      <c r="Y94" s="519"/>
    </row>
    <row r="95" spans="1:25" s="447" customFormat="1" ht="17.25" customHeight="1" x14ac:dyDescent="0.25">
      <c r="A95" s="366"/>
      <c r="B95" s="367"/>
      <c r="C95" s="529"/>
      <c r="D95" s="413" t="s">
        <v>61</v>
      </c>
      <c r="E95" s="404" t="s">
        <v>34</v>
      </c>
      <c r="F95" s="402"/>
      <c r="G95" s="393"/>
      <c r="H95" s="393"/>
      <c r="I95" s="393"/>
      <c r="J95" s="393"/>
      <c r="K95" s="405" t="str">
        <f t="shared" ref="K95:V95" si="12">IF(K75=1,"hoog",IF(K75=2,"matig",IF(K75&gt;2,"laag","")))</f>
        <v>matig</v>
      </c>
      <c r="L95" s="405" t="str">
        <f t="shared" si="12"/>
        <v/>
      </c>
      <c r="M95" s="405" t="str">
        <f t="shared" si="12"/>
        <v/>
      </c>
      <c r="N95" s="405" t="str">
        <f t="shared" si="12"/>
        <v/>
      </c>
      <c r="O95" s="405" t="str">
        <f t="shared" si="12"/>
        <v/>
      </c>
      <c r="P95" s="405" t="str">
        <f t="shared" si="12"/>
        <v/>
      </c>
      <c r="Q95" s="405" t="str">
        <f t="shared" si="12"/>
        <v/>
      </c>
      <c r="R95" s="405" t="str">
        <f t="shared" si="12"/>
        <v/>
      </c>
      <c r="S95" s="405" t="str">
        <f t="shared" si="12"/>
        <v/>
      </c>
      <c r="T95" s="405" t="str">
        <f t="shared" si="12"/>
        <v/>
      </c>
      <c r="U95" s="405" t="str">
        <f t="shared" si="12"/>
        <v/>
      </c>
      <c r="V95" s="406" t="str">
        <f t="shared" si="12"/>
        <v/>
      </c>
      <c r="W95" s="373"/>
      <c r="Y95" s="521"/>
    </row>
    <row r="96" spans="1:25" s="447" customFormat="1" ht="17.25" customHeight="1" x14ac:dyDescent="0.25">
      <c r="A96" s="366"/>
      <c r="B96" s="367"/>
      <c r="C96" s="367"/>
      <c r="D96" s="435"/>
      <c r="E96" s="401"/>
      <c r="F96" s="402"/>
      <c r="G96" s="393"/>
      <c r="H96" s="393"/>
      <c r="I96" s="393"/>
      <c r="J96" s="393"/>
      <c r="K96" s="401"/>
      <c r="L96" s="401"/>
      <c r="M96" s="401"/>
      <c r="N96" s="401"/>
      <c r="O96" s="401"/>
      <c r="P96" s="401"/>
      <c r="Q96" s="401"/>
      <c r="R96" s="401"/>
      <c r="S96" s="401"/>
      <c r="T96" s="401"/>
      <c r="U96" s="401"/>
      <c r="V96" s="403"/>
      <c r="W96" s="373"/>
      <c r="Y96" s="527"/>
    </row>
    <row r="97" spans="1:25" s="447" customFormat="1" ht="17.25" customHeight="1" x14ac:dyDescent="0.25">
      <c r="A97" s="366"/>
      <c r="B97" s="367"/>
      <c r="C97" s="529"/>
      <c r="D97" s="731" t="s">
        <v>160</v>
      </c>
      <c r="E97" s="732"/>
      <c r="F97" s="732"/>
      <c r="G97" s="393"/>
      <c r="H97" s="393"/>
      <c r="I97" s="393"/>
      <c r="J97" s="393"/>
      <c r="K97" s="427">
        <f>IFERROR(IF(K91="",K90,K91)/K6,"")</f>
        <v>0.65184361138163616</v>
      </c>
      <c r="L97" s="427" t="str">
        <f t="shared" ref="L97:V97" si="13">IFERROR(IF(L91="",L90,L91)/L6,"")</f>
        <v/>
      </c>
      <c r="M97" s="427" t="str">
        <f t="shared" si="13"/>
        <v/>
      </c>
      <c r="N97" s="427" t="str">
        <f t="shared" si="13"/>
        <v/>
      </c>
      <c r="O97" s="427" t="str">
        <f t="shared" si="13"/>
        <v/>
      </c>
      <c r="P97" s="427" t="str">
        <f t="shared" si="13"/>
        <v/>
      </c>
      <c r="Q97" s="427" t="str">
        <f t="shared" si="13"/>
        <v/>
      </c>
      <c r="R97" s="427" t="str">
        <f t="shared" si="13"/>
        <v/>
      </c>
      <c r="S97" s="427" t="str">
        <f t="shared" si="13"/>
        <v/>
      </c>
      <c r="T97" s="427" t="str">
        <f t="shared" si="13"/>
        <v/>
      </c>
      <c r="U97" s="427" t="str">
        <f t="shared" si="13"/>
        <v/>
      </c>
      <c r="V97" s="428" t="str">
        <f t="shared" si="13"/>
        <v/>
      </c>
      <c r="W97" s="373"/>
      <c r="Y97" s="522"/>
    </row>
    <row r="98" spans="1:25" s="447" customFormat="1" ht="17.25" customHeight="1" thickBot="1" x14ac:dyDescent="0.3">
      <c r="A98" s="366"/>
      <c r="B98" s="367"/>
      <c r="C98" s="529"/>
      <c r="D98" s="733" t="s">
        <v>159</v>
      </c>
      <c r="E98" s="734"/>
      <c r="F98" s="734"/>
      <c r="G98" s="410"/>
      <c r="H98" s="410"/>
      <c r="I98" s="410"/>
      <c r="J98" s="410"/>
      <c r="K98" s="417" t="str">
        <f>IF(K97="","",IFERROR(IF(K97&gt;1.25,"laag",IF(K97&gt;=1,"matig",IF(K97&lt;0.75,"zeer hoog",IF(K97&lt;1,"hoog","")))),""))</f>
        <v>zeer hoog</v>
      </c>
      <c r="L98" s="417" t="str">
        <f t="shared" ref="L98:V98" si="14">IF(L97="","",IFERROR(IF(L97&gt;1.25,"laag",IF(L97&gt;=1,"matig",IF(L97&lt;0.75,"zeer hoog",IF(L97&lt;1,"hoog","")))),""))</f>
        <v/>
      </c>
      <c r="M98" s="417" t="str">
        <f t="shared" si="14"/>
        <v/>
      </c>
      <c r="N98" s="417" t="str">
        <f t="shared" si="14"/>
        <v/>
      </c>
      <c r="O98" s="417" t="str">
        <f t="shared" si="14"/>
        <v/>
      </c>
      <c r="P98" s="417" t="str">
        <f t="shared" si="14"/>
        <v/>
      </c>
      <c r="Q98" s="417" t="str">
        <f t="shared" si="14"/>
        <v/>
      </c>
      <c r="R98" s="417" t="str">
        <f t="shared" si="14"/>
        <v/>
      </c>
      <c r="S98" s="417" t="str">
        <f t="shared" si="14"/>
        <v/>
      </c>
      <c r="T98" s="417" t="str">
        <f t="shared" si="14"/>
        <v/>
      </c>
      <c r="U98" s="417" t="str">
        <f t="shared" si="14"/>
        <v/>
      </c>
      <c r="V98" s="436" t="str">
        <f t="shared" si="14"/>
        <v/>
      </c>
      <c r="W98" s="373"/>
      <c r="Y98" s="522"/>
    </row>
    <row r="99" spans="1:25" ht="17.25" customHeight="1" thickBot="1" x14ac:dyDescent="0.4">
      <c r="A99" s="364"/>
      <c r="B99" s="359"/>
      <c r="C99" s="536"/>
      <c r="D99" s="66"/>
      <c r="E99" s="67"/>
      <c r="F99" s="68"/>
      <c r="G99" s="69"/>
      <c r="H99" s="69"/>
      <c r="I99" s="69"/>
      <c r="J99" s="69"/>
      <c r="K99" s="67"/>
      <c r="L99" s="67"/>
      <c r="M99" s="67"/>
      <c r="N99" s="67"/>
      <c r="O99" s="67"/>
      <c r="P99" s="67"/>
      <c r="Q99" s="67"/>
      <c r="R99" s="67"/>
      <c r="S99" s="67"/>
      <c r="T99" s="67"/>
      <c r="U99" s="67"/>
      <c r="V99" s="67"/>
      <c r="W99" s="70"/>
      <c r="Y99" s="522"/>
    </row>
    <row r="100" spans="1:25" ht="21.75" thickBot="1" x14ac:dyDescent="0.4">
      <c r="A100" s="363"/>
      <c r="B100" s="356" t="s">
        <v>275</v>
      </c>
      <c r="C100" s="356"/>
      <c r="D100" s="54"/>
      <c r="E100" s="55"/>
      <c r="F100" s="56"/>
      <c r="G100" s="57"/>
      <c r="H100" s="57"/>
      <c r="I100" s="57"/>
      <c r="J100" s="57"/>
      <c r="K100" s="55"/>
      <c r="L100" s="55"/>
      <c r="M100" s="55"/>
      <c r="N100" s="55"/>
      <c r="O100" s="55"/>
      <c r="P100" s="55"/>
      <c r="Q100" s="55"/>
      <c r="R100" s="55"/>
      <c r="S100" s="55"/>
      <c r="T100" s="55"/>
      <c r="U100" s="55"/>
      <c r="V100" s="55"/>
      <c r="W100" s="58"/>
      <c r="Y100" s="522"/>
    </row>
    <row r="101" spans="1:25" s="452" customFormat="1" ht="105" customHeight="1" thickBot="1" x14ac:dyDescent="0.4">
      <c r="A101" s="361"/>
      <c r="B101" s="357"/>
      <c r="C101" s="530" t="s">
        <v>276</v>
      </c>
      <c r="D101" s="365"/>
      <c r="E101" s="60" t="s">
        <v>6</v>
      </c>
      <c r="F101" s="61" t="s">
        <v>16</v>
      </c>
      <c r="G101" s="32"/>
      <c r="H101" s="32"/>
      <c r="I101" s="32"/>
      <c r="J101" s="32"/>
      <c r="K101" s="482" t="str">
        <f>K5</f>
        <v>Voorbeeld</v>
      </c>
      <c r="L101" s="477" t="str">
        <f t="shared" ref="L101:V101" si="15">L5</f>
        <v>water_2</v>
      </c>
      <c r="M101" s="477" t="str">
        <f t="shared" si="15"/>
        <v>water_3</v>
      </c>
      <c r="N101" s="477" t="str">
        <f t="shared" si="15"/>
        <v>water_4</v>
      </c>
      <c r="O101" s="477" t="str">
        <f t="shared" si="15"/>
        <v>water_5</v>
      </c>
      <c r="P101" s="477" t="str">
        <f t="shared" si="15"/>
        <v>water_6</v>
      </c>
      <c r="Q101" s="477" t="str">
        <f t="shared" si="15"/>
        <v>water_7</v>
      </c>
      <c r="R101" s="477" t="str">
        <f t="shared" si="15"/>
        <v>water_8</v>
      </c>
      <c r="S101" s="477" t="str">
        <f t="shared" si="15"/>
        <v>water_9</v>
      </c>
      <c r="T101" s="477" t="str">
        <f t="shared" si="15"/>
        <v>water_10</v>
      </c>
      <c r="U101" s="477" t="str">
        <f t="shared" si="15"/>
        <v>water_11</v>
      </c>
      <c r="V101" s="478" t="str">
        <f t="shared" si="15"/>
        <v>water_12</v>
      </c>
      <c r="W101" s="334"/>
      <c r="Y101" s="519"/>
    </row>
    <row r="102" spans="1:25" s="448" customFormat="1" ht="15.75" customHeight="1" x14ac:dyDescent="0.25">
      <c r="A102" s="366"/>
      <c r="B102" s="367"/>
      <c r="C102" s="532"/>
      <c r="D102" s="383" t="s">
        <v>277</v>
      </c>
      <c r="E102" s="384" t="s">
        <v>231</v>
      </c>
      <c r="F102" s="419" t="s">
        <v>125</v>
      </c>
      <c r="G102" s="387"/>
      <c r="H102" s="387"/>
      <c r="I102" s="387"/>
      <c r="J102" s="387"/>
      <c r="K102" s="442">
        <v>3.5</v>
      </c>
      <c r="L102" s="371"/>
      <c r="M102" s="371"/>
      <c r="N102" s="371"/>
      <c r="O102" s="371"/>
      <c r="P102" s="371"/>
      <c r="Q102" s="371"/>
      <c r="R102" s="371"/>
      <c r="S102" s="371"/>
      <c r="T102" s="371"/>
      <c r="U102" s="371"/>
      <c r="V102" s="372"/>
      <c r="W102" s="389"/>
      <c r="Y102" s="519"/>
    </row>
    <row r="103" spans="1:25" s="448" customFormat="1" ht="15.75" customHeight="1" x14ac:dyDescent="0.25">
      <c r="A103" s="366"/>
      <c r="B103" s="367"/>
      <c r="C103" s="532"/>
      <c r="D103" s="413" t="s">
        <v>278</v>
      </c>
      <c r="E103" s="404" t="s">
        <v>232</v>
      </c>
      <c r="F103" s="420" t="s">
        <v>125</v>
      </c>
      <c r="G103" s="393"/>
      <c r="H103" s="393"/>
      <c r="I103" s="393"/>
      <c r="J103" s="393"/>
      <c r="K103" s="443">
        <v>0.7</v>
      </c>
      <c r="L103" s="394"/>
      <c r="M103" s="394"/>
      <c r="N103" s="394"/>
      <c r="O103" s="394"/>
      <c r="P103" s="394"/>
      <c r="Q103" s="394"/>
      <c r="R103" s="394"/>
      <c r="S103" s="394"/>
      <c r="T103" s="394"/>
      <c r="U103" s="394"/>
      <c r="V103" s="396"/>
      <c r="W103" s="389"/>
      <c r="Y103" s="526"/>
    </row>
    <row r="104" spans="1:25" s="448" customFormat="1" ht="15.75" customHeight="1" thickBot="1" x14ac:dyDescent="0.3">
      <c r="A104" s="366"/>
      <c r="B104" s="367"/>
      <c r="C104" s="532"/>
      <c r="D104" s="421" t="s">
        <v>279</v>
      </c>
      <c r="E104" s="408" t="s">
        <v>231</v>
      </c>
      <c r="F104" s="422" t="s">
        <v>125</v>
      </c>
      <c r="G104" s="410"/>
      <c r="H104" s="410"/>
      <c r="I104" s="410"/>
      <c r="J104" s="410"/>
      <c r="K104" s="444">
        <v>2</v>
      </c>
      <c r="L104" s="423"/>
      <c r="M104" s="423"/>
      <c r="N104" s="423"/>
      <c r="O104" s="423"/>
      <c r="P104" s="423"/>
      <c r="Q104" s="423"/>
      <c r="R104" s="423"/>
      <c r="S104" s="423"/>
      <c r="T104" s="423"/>
      <c r="U104" s="423"/>
      <c r="V104" s="424"/>
      <c r="W104" s="389"/>
      <c r="Y104" s="523"/>
    </row>
    <row r="105" spans="1:25" ht="15.75" customHeight="1" x14ac:dyDescent="0.35">
      <c r="A105" s="361"/>
      <c r="B105" s="357"/>
      <c r="C105" s="530"/>
      <c r="D105" s="15"/>
      <c r="E105" s="6"/>
      <c r="F105" s="7"/>
      <c r="G105" s="13"/>
      <c r="H105" s="13"/>
      <c r="I105" s="13"/>
      <c r="J105" s="13"/>
      <c r="K105" s="6"/>
      <c r="L105" s="6"/>
      <c r="M105" s="6"/>
      <c r="N105" s="6"/>
      <c r="O105" s="6"/>
      <c r="P105" s="6"/>
      <c r="Q105" s="6"/>
      <c r="R105" s="6"/>
      <c r="S105" s="6"/>
      <c r="T105" s="6"/>
      <c r="U105" s="6"/>
      <c r="V105" s="6"/>
      <c r="W105" s="62"/>
      <c r="Y105" s="523"/>
    </row>
    <row r="106" spans="1:25" s="452" customFormat="1" ht="15.75" customHeight="1" thickBot="1" x14ac:dyDescent="0.4">
      <c r="A106" s="361"/>
      <c r="B106" s="357"/>
      <c r="C106" s="530" t="s">
        <v>280</v>
      </c>
      <c r="D106" s="86"/>
      <c r="E106" s="17"/>
      <c r="F106" s="87"/>
      <c r="G106" s="88"/>
      <c r="H106" s="88"/>
      <c r="I106" s="88"/>
      <c r="J106" s="88"/>
      <c r="K106" s="89"/>
      <c r="L106" s="89"/>
      <c r="M106" s="89"/>
      <c r="N106" s="89"/>
      <c r="O106" s="89"/>
      <c r="P106" s="89"/>
      <c r="Q106" s="89"/>
      <c r="R106" s="89"/>
      <c r="S106" s="89"/>
      <c r="T106" s="89"/>
      <c r="U106" s="89"/>
      <c r="V106" s="89"/>
      <c r="W106" s="334"/>
      <c r="Y106" s="523"/>
    </row>
    <row r="107" spans="1:25" s="447" customFormat="1" ht="15.75" customHeight="1" thickBot="1" x14ac:dyDescent="0.3">
      <c r="A107" s="366"/>
      <c r="B107" s="367"/>
      <c r="C107" s="529"/>
      <c r="D107" s="437" t="s">
        <v>272</v>
      </c>
      <c r="E107" s="438" t="s">
        <v>267</v>
      </c>
      <c r="F107" s="439" t="s">
        <v>273</v>
      </c>
      <c r="G107" s="440"/>
      <c r="H107" s="440"/>
      <c r="I107" s="440"/>
      <c r="J107" s="440"/>
      <c r="K107" s="441"/>
      <c r="L107" s="441"/>
      <c r="M107" s="441"/>
      <c r="N107" s="441"/>
      <c r="O107" s="441"/>
      <c r="P107" s="441"/>
      <c r="Q107" s="441"/>
      <c r="R107" s="441"/>
      <c r="S107" s="441"/>
      <c r="T107" s="441"/>
      <c r="U107" s="441"/>
      <c r="V107" s="441"/>
      <c r="W107" s="373"/>
      <c r="Y107" s="519"/>
    </row>
    <row r="108" spans="1:25" ht="15.75" customHeight="1" thickBot="1" x14ac:dyDescent="0.4">
      <c r="A108" s="364"/>
      <c r="B108" s="359"/>
      <c r="C108" s="536"/>
      <c r="D108" s="66"/>
      <c r="E108" s="67"/>
      <c r="F108" s="68"/>
      <c r="G108" s="69"/>
      <c r="H108" s="69"/>
      <c r="I108" s="69"/>
      <c r="J108" s="69"/>
      <c r="K108" s="67"/>
      <c r="L108" s="67"/>
      <c r="M108" s="67"/>
      <c r="N108" s="67"/>
      <c r="O108" s="67"/>
      <c r="P108" s="67"/>
      <c r="Q108" s="67"/>
      <c r="R108" s="67"/>
      <c r="S108" s="67"/>
      <c r="T108" s="67"/>
      <c r="U108" s="67"/>
      <c r="V108" s="67"/>
      <c r="W108" s="70"/>
      <c r="Y108" s="526"/>
    </row>
    <row r="109" spans="1:25" ht="15" customHeight="1" x14ac:dyDescent="0.35">
      <c r="Y109" s="522"/>
    </row>
  </sheetData>
  <sheetProtection sheet="1" objects="1" scenarios="1"/>
  <protectedRanges>
    <protectedRange sqref="K20:V39 D36:J39 K52:V56 K63:V64 K73:V75 K81:V83 K102:V104 K107:V107 K12:V17 K5:V6" name="Bereik1"/>
  </protectedRanges>
  <mergeCells count="17">
    <mergeCell ref="D98:F98"/>
    <mergeCell ref="D26:D28"/>
    <mergeCell ref="E26:E28"/>
    <mergeCell ref="D29:D31"/>
    <mergeCell ref="E29:E31"/>
    <mergeCell ref="E33:E35"/>
    <mergeCell ref="D34:D35"/>
    <mergeCell ref="D90:D91"/>
    <mergeCell ref="D88:D89"/>
    <mergeCell ref="D86:D87"/>
    <mergeCell ref="E86:E87"/>
    <mergeCell ref="E88:E89"/>
    <mergeCell ref="E90:E91"/>
    <mergeCell ref="D12:D13"/>
    <mergeCell ref="D14:D15"/>
    <mergeCell ref="D16:D17"/>
    <mergeCell ref="D97:F97"/>
  </mergeCells>
  <conditionalFormatting sqref="K98:V98">
    <cfRule type="cellIs" dxfId="67" priority="50" operator="equal">
      <formula>"zeer hoog"</formula>
    </cfRule>
    <cfRule type="cellIs" dxfId="66" priority="51" operator="equal">
      <formula>"hoog"</formula>
    </cfRule>
    <cfRule type="cellIs" dxfId="65" priority="52" operator="equal">
      <formula>"laag"</formula>
    </cfRule>
  </conditionalFormatting>
  <conditionalFormatting sqref="K98:V98">
    <cfRule type="cellIs" dxfId="64" priority="48" operator="equal">
      <formula>"matig"</formula>
    </cfRule>
  </conditionalFormatting>
  <conditionalFormatting sqref="K94:V95">
    <cfRule type="cellIs" dxfId="63" priority="38" operator="equal">
      <formula>"hoog"</formula>
    </cfRule>
    <cfRule type="cellIs" dxfId="62" priority="39" operator="equal">
      <formula>"matig"</formula>
    </cfRule>
    <cfRule type="cellIs" dxfId="61" priority="40" operator="equal">
      <formula>"laag"</formula>
    </cfRule>
  </conditionalFormatting>
  <conditionalFormatting sqref="K98:V99">
    <cfRule type="cellIs" priority="37" operator="equal">
      <formula>""""""</formula>
    </cfRule>
  </conditionalFormatting>
  <conditionalFormatting sqref="K107:V107">
    <cfRule type="cellIs" dxfId="60" priority="27" operator="equal">
      <formula>""</formula>
    </cfRule>
  </conditionalFormatting>
  <conditionalFormatting sqref="K81:V81">
    <cfRule type="cellIs" dxfId="59" priority="25" operator="equal">
      <formula>6</formula>
    </cfRule>
  </conditionalFormatting>
  <conditionalFormatting sqref="K83:V83">
    <cfRule type="cellIs" dxfId="58" priority="24" operator="equal">
      <formula>2</formula>
    </cfRule>
  </conditionalFormatting>
  <conditionalFormatting sqref="K6:V6">
    <cfRule type="cellIs" dxfId="57" priority="23" operator="equal">
      <formula>5</formula>
    </cfRule>
  </conditionalFormatting>
  <conditionalFormatting sqref="K73:V73">
    <cfRule type="cellIs" dxfId="56" priority="22" operator="equal">
      <formula>20</formula>
    </cfRule>
  </conditionalFormatting>
  <conditionalFormatting sqref="K82:V82">
    <cfRule type="cellIs" dxfId="55" priority="19" operator="equal">
      <formula>0.2</formula>
    </cfRule>
  </conditionalFormatting>
  <conditionalFormatting sqref="K54:V55">
    <cfRule type="expression" dxfId="54" priority="69">
      <formula>K$56&gt;0</formula>
    </cfRule>
  </conditionalFormatting>
  <conditionalFormatting sqref="K56:V56">
    <cfRule type="cellIs" dxfId="53" priority="80" stopIfTrue="1" operator="equal">
      <formula>""</formula>
    </cfRule>
    <cfRule type="expression" dxfId="52" priority="81" stopIfTrue="1">
      <formula>ABS(K56/(IF(K55=1,K53*K54,IF(K55=2,PI()*((K53/2*K54/2)),""))))&lt;0.5</formula>
    </cfRule>
    <cfRule type="expression" dxfId="51" priority="82" stopIfTrue="1">
      <formula>ABS(K56/(IF(K55=1,K53*K54,IF(K55=2,PI()*((K53/2*K54/2)),""))))&lt;0.75</formula>
    </cfRule>
    <cfRule type="expression" dxfId="50" priority="83" stopIfTrue="1">
      <formula>ABS(K56/(IF(K55=1,K53*K54,IF(K55=2,PI()*((K53/2*K54/2)),""))))&gt;1.25</formula>
    </cfRule>
    <cfRule type="expression" dxfId="49" priority="84" stopIfTrue="1">
      <formula>ABS(K56/(IF(K55=1,K53*K54,IF(K55=2,PI()*((K53/2*K54/2)),""))))&gt;1.5</formula>
    </cfRule>
  </conditionalFormatting>
  <conditionalFormatting sqref="K26:V28">
    <cfRule type="cellIs" dxfId="48" priority="85" operator="greaterThan">
      <formula>IF(K$55=1,2*(K$53+K$54),2*pi*(K$53+K$54)/2)</formula>
    </cfRule>
  </conditionalFormatting>
  <conditionalFormatting sqref="K64:V64">
    <cfRule type="cellIs" dxfId="47" priority="18" operator="equal">
      <formula>""</formula>
    </cfRule>
    <cfRule type="expression" dxfId="46" priority="88">
      <formula>K$63&gt;0</formula>
    </cfRule>
  </conditionalFormatting>
  <conditionalFormatting sqref="K63:V63">
    <cfRule type="cellIs" dxfId="45" priority="16" stopIfTrue="1" operator="greaterThan">
      <formula>0</formula>
    </cfRule>
    <cfRule type="expression" dxfId="44" priority="17" stopIfTrue="1">
      <formula>K64&gt;0</formula>
    </cfRule>
  </conditionalFormatting>
  <conditionalFormatting sqref="K108:V108">
    <cfRule type="cellIs" priority="11" operator="equal">
      <formula>""""""</formula>
    </cfRule>
  </conditionalFormatting>
  <conditionalFormatting sqref="K102:V104">
    <cfRule type="cellIs" dxfId="43" priority="10" operator="equal">
      <formula>""</formula>
    </cfRule>
  </conditionalFormatting>
  <conditionalFormatting sqref="K70:V70">
    <cfRule type="cellIs" priority="1" stopIfTrue="1" operator="equal">
      <formula>""</formula>
    </cfRule>
    <cfRule type="cellIs" dxfId="42" priority="5" operator="greaterThan">
      <formula>1.2</formula>
    </cfRule>
  </conditionalFormatting>
  <dataValidations count="7">
    <dataValidation type="whole" allowBlank="1" showInputMessage="1" showErrorMessage="1" errorTitle="waarde buiten bereik" error="zie toelichting bij deze parameter" sqref="K55:V55">
      <formula1>1</formula1>
      <formula2>2</formula2>
    </dataValidation>
    <dataValidation type="decimal" allowBlank="1" showInputMessage="1" showErrorMessage="1" errorTitle="waarde buiten bereik" error="zie toelichting bij deze parameter" sqref="K107:V107">
      <formula1>1</formula1>
      <formula2>100</formula2>
    </dataValidation>
    <dataValidation type="decimal" allowBlank="1" showInputMessage="1" showErrorMessage="1" errorTitle="waarde buiten bereik" error="zie toelichting bij deze parameter" promptTitle="NB!!" prompt="Wanneer er geen getal is ingevoerd, wordt er met een BZV-gehalte van 0 mg/l in het aanvoerwater gerekend" sqref="K83:V83">
      <formula1>0</formula1>
      <formula2>10</formula2>
    </dataValidation>
    <dataValidation type="whole" allowBlank="1" showInputMessage="1" showErrorMessage="1" errorTitle="waarde buiten bereik" error="zie toelichting bij deze parameter" sqref="K64:V64">
      <formula1>1</formula1>
      <formula2>10</formula2>
    </dataValidation>
    <dataValidation type="decimal" showInputMessage="1" showErrorMessage="1" errorTitle="waarde buiten bereik" error="zuurstofgehalte tussen 0 en 20 mg/l" promptTitle="NB!!" prompt="Wanneer er geen getal is opgegeven, wordt er met een zuurstofconcentratie van 0 mg/l in het aanvoerwater gerekend" sqref="K81:V81">
      <formula1>0</formula1>
      <formula2>20</formula2>
    </dataValidation>
    <dataValidation type="decimal" showInputMessage="1" showErrorMessage="1" errorTitle="waarde buiten bereik" error="zuurstofgehalte tussen 0 en 20 mg/l" promptTitle="NB!!" prompt="Wanneer er geen getal is opgegeven, wordt er met een ammoniumgehalte van 0 mg/l in het aanvoerwater gerekend" sqref="K82:V82">
      <formula1>0</formula1>
      <formula2>20</formula2>
    </dataValidation>
    <dataValidation type="whole" allowBlank="1" showInputMessage="1" showErrorMessage="1" errorTitle="waarde buiten bereik" error="zie toelichting bij deze parameter" sqref="K75:V75">
      <formula1>1</formula1>
      <formula2>4</formula2>
    </dataValidation>
  </dataValidations>
  <pageMargins left="0.25" right="0.25" top="0.75" bottom="0.75" header="0.3" footer="0.3"/>
  <pageSetup paperSize="9" scale="3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9" id="{B219ED92-F03D-4271-8DC3-F20F9DBAFA5D}">
            <xm:f>kentallen!$K34&lt;&gt;kentallen!$K8</xm:f>
            <x14:dxf>
              <font>
                <color rgb="FFFF0000"/>
              </font>
            </x14:dxf>
          </x14:cfRule>
          <xm:sqref>G20:J35</xm:sqref>
        </x14:conditionalFormatting>
        <x14:conditionalFormatting xmlns:xm="http://schemas.microsoft.com/office/excel/2006/main">
          <x14:cfRule type="expression" priority="90" id="{B219ED92-F03D-4271-8DC3-F20F9DBAFA5D}">
            <xm:f>kentallen!$K30&lt;&gt;kentallen!$K4</xm:f>
            <x14:dxf>
              <font>
                <color rgb="FFFF0000"/>
              </font>
            </x14:dxf>
          </x14:cfRule>
          <xm:sqref>G12:H12</xm:sqref>
        </x14:conditionalFormatting>
        <x14:conditionalFormatting xmlns:xm="http://schemas.microsoft.com/office/excel/2006/main">
          <x14:cfRule type="expression" priority="92" id="{B219ED92-F03D-4271-8DC3-F20F9DBAFA5D}">
            <xm:f>kentallen!$K31&lt;&gt;kentallen!$K5</xm:f>
            <x14:dxf>
              <font>
                <color rgb="FFFF0000"/>
              </font>
            </x14:dxf>
          </x14:cfRule>
          <xm:sqref>G14:H14</xm:sqref>
        </x14:conditionalFormatting>
        <x14:conditionalFormatting xmlns:xm="http://schemas.microsoft.com/office/excel/2006/main">
          <x14:cfRule type="expression" priority="95" id="{B219ED92-F03D-4271-8DC3-F20F9DBAFA5D}">
            <xm:f>kentallen!$K32&lt;&gt;kentallen!$K6</xm:f>
            <x14:dxf>
              <font>
                <color rgb="FFFF0000"/>
              </font>
            </x14:dxf>
          </x14:cfRule>
          <xm:sqref>G16:H16</xm:sqref>
        </x14:conditionalFormatting>
        <x14:conditionalFormatting xmlns:xm="http://schemas.microsoft.com/office/excel/2006/main">
          <x14:cfRule type="expression" priority="99" id="{B219ED92-F03D-4271-8DC3-F20F9DBAFA5D}">
            <xm:f>kentallen!$K33&lt;&gt;kentallen!$K7</xm:f>
            <x14:dxf>
              <font>
                <color rgb="FFFF0000"/>
              </font>
            </x14:dxf>
          </x14:cfRule>
          <xm:sqref>G18:J18</xm:sqref>
        </x14:conditionalFormatting>
        <x14:conditionalFormatting xmlns:xm="http://schemas.microsoft.com/office/excel/2006/main">
          <x14:cfRule type="expression" priority="4" id="{25E267EC-F11C-47F3-9DB6-EE80372BE1CA}">
            <xm:f>kentallen!M30&lt;&gt;kentallen!M4</xm:f>
            <x14:dxf>
              <font>
                <color rgb="FFFF0000"/>
              </font>
            </x14:dxf>
          </x14:cfRule>
          <xm:sqref>I13:J13</xm:sqref>
        </x14:conditionalFormatting>
        <x14:conditionalFormatting xmlns:xm="http://schemas.microsoft.com/office/excel/2006/main">
          <x14:cfRule type="expression" priority="3" id="{9158D6F5-0202-48A1-9DE4-61AC69E52575}">
            <xm:f>kentallen!M31&lt;&gt;kentallen!M5</xm:f>
            <x14:dxf>
              <font>
                <color rgb="FFFF0000"/>
              </font>
            </x14:dxf>
          </x14:cfRule>
          <xm:sqref>I15:J15</xm:sqref>
        </x14:conditionalFormatting>
        <x14:conditionalFormatting xmlns:xm="http://schemas.microsoft.com/office/excel/2006/main">
          <x14:cfRule type="expression" priority="2" id="{138CB22F-7E7D-48A9-A080-A7B0E23329C0}">
            <xm:f>kentallen!M32&lt;&gt;kentallen!M6</xm:f>
            <x14:dxf>
              <font>
                <color rgb="FFFF0000"/>
              </font>
            </x14:dxf>
          </x14:cfRule>
          <xm:sqref>I17:J17</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FFFFCC"/>
  </sheetPr>
  <dimension ref="A1:N49"/>
  <sheetViews>
    <sheetView zoomScaleNormal="100" workbookViewId="0">
      <selection activeCell="A2" sqref="A2"/>
    </sheetView>
  </sheetViews>
  <sheetFormatPr defaultColWidth="9.140625" defaultRowHeight="12.75" x14ac:dyDescent="0.2"/>
  <cols>
    <col min="1" max="1" width="3.28515625" style="156" customWidth="1"/>
    <col min="2" max="2" width="34" style="156" bestFit="1" customWidth="1"/>
    <col min="3" max="3" width="14.7109375" style="156" customWidth="1"/>
    <col min="4" max="4" width="16.28515625" style="156" bestFit="1" customWidth="1"/>
    <col min="5" max="5" width="17.28515625" style="156" bestFit="1" customWidth="1"/>
    <col min="6" max="10" width="18.140625" style="156" customWidth="1"/>
    <col min="11" max="13" width="19.85546875" style="156" customWidth="1"/>
    <col min="14" max="14" width="19" style="156" bestFit="1" customWidth="1"/>
    <col min="15" max="16384" width="9.140625" style="156"/>
  </cols>
  <sheetData>
    <row r="1" spans="1:14" ht="27" thickBot="1" x14ac:dyDescent="0.45">
      <c r="A1" s="203" t="s">
        <v>412</v>
      </c>
    </row>
    <row r="2" spans="1:14" ht="15.75" customHeight="1" thickBot="1" x14ac:dyDescent="0.25">
      <c r="C2" s="206"/>
      <c r="D2" s="707" t="s">
        <v>50</v>
      </c>
      <c r="E2" s="709"/>
      <c r="F2" s="707" t="s">
        <v>51</v>
      </c>
      <c r="G2" s="708"/>
      <c r="H2" s="708"/>
      <c r="I2" s="708"/>
      <c r="J2" s="709"/>
      <c r="K2" s="707" t="s">
        <v>52</v>
      </c>
      <c r="L2" s="708"/>
      <c r="M2" s="709"/>
      <c r="N2" s="510" t="s">
        <v>393</v>
      </c>
    </row>
    <row r="3" spans="1:14" ht="54" thickBot="1" x14ac:dyDescent="0.3">
      <c r="A3" s="204" t="s">
        <v>54</v>
      </c>
      <c r="C3" s="36" t="s">
        <v>58</v>
      </c>
      <c r="D3" s="48" t="s">
        <v>69</v>
      </c>
      <c r="E3" s="49" t="s">
        <v>35</v>
      </c>
      <c r="F3" s="48" t="s">
        <v>469</v>
      </c>
      <c r="G3" s="51" t="s">
        <v>465</v>
      </c>
      <c r="H3" s="50" t="s">
        <v>162</v>
      </c>
      <c r="I3" s="49" t="s">
        <v>27</v>
      </c>
      <c r="J3" s="696" t="s">
        <v>463</v>
      </c>
      <c r="K3" s="36" t="s">
        <v>467</v>
      </c>
      <c r="L3" s="36" t="s">
        <v>391</v>
      </c>
      <c r="M3" s="36" t="s">
        <v>466</v>
      </c>
      <c r="N3" s="49" t="s">
        <v>468</v>
      </c>
    </row>
    <row r="4" spans="1:14" ht="13.5" customHeight="1" x14ac:dyDescent="0.2">
      <c r="A4" s="183"/>
      <c r="B4" s="38" t="str">
        <f>invulblad!D12</f>
        <v>overstort gemengd stelsel</v>
      </c>
      <c r="C4" s="41" t="str">
        <f>invulblad!E12</f>
        <v>m3 bij T=1</v>
      </c>
      <c r="D4" s="31">
        <v>1</v>
      </c>
      <c r="E4" s="28" t="s">
        <v>318</v>
      </c>
      <c r="F4" s="27">
        <v>180</v>
      </c>
      <c r="G4" s="29">
        <v>50</v>
      </c>
      <c r="H4" s="37">
        <v>4</v>
      </c>
      <c r="I4" s="28" t="s">
        <v>56</v>
      </c>
      <c r="J4" s="216">
        <v>6.5</v>
      </c>
      <c r="K4" s="30">
        <f t="shared" ref="K4:L6" si="0">IF(G4="","geen kental ingevuld",G4*$D4/5)</f>
        <v>10</v>
      </c>
      <c r="L4" s="246">
        <f t="shared" si="0"/>
        <v>0.8</v>
      </c>
      <c r="M4" s="489">
        <f>IF(F4="","geen kental ingevuld",(F4-G4)*$D4/365)</f>
        <v>0.35616438356164382</v>
      </c>
      <c r="N4" s="30">
        <v>30</v>
      </c>
    </row>
    <row r="5" spans="1:14" ht="13.5" customHeight="1" x14ac:dyDescent="0.2">
      <c r="A5" s="183"/>
      <c r="B5" s="185" t="str">
        <f>invulblad!D14</f>
        <v>overstort gemengd stelsel+BB-basin</v>
      </c>
      <c r="C5" s="186" t="str">
        <f>invulblad!E14</f>
        <v>m3 bij T=1</v>
      </c>
      <c r="D5" s="187">
        <v>1</v>
      </c>
      <c r="E5" s="188" t="s">
        <v>318</v>
      </c>
      <c r="F5" s="189">
        <v>99</v>
      </c>
      <c r="G5" s="191">
        <v>27.5</v>
      </c>
      <c r="H5" s="190">
        <v>4</v>
      </c>
      <c r="I5" s="188" t="s">
        <v>56</v>
      </c>
      <c r="J5" s="697">
        <v>6.5</v>
      </c>
      <c r="K5" s="192">
        <f t="shared" si="0"/>
        <v>5.5</v>
      </c>
      <c r="L5" s="247">
        <f t="shared" si="0"/>
        <v>0.8</v>
      </c>
      <c r="M5" s="490">
        <f>IF(F5="","geen kental ingevuld",(F5-G5)*$D5/365)</f>
        <v>0.19589041095890411</v>
      </c>
      <c r="N5" s="192">
        <v>30</v>
      </c>
    </row>
    <row r="6" spans="1:14" ht="13.5" customHeight="1" thickBot="1" x14ac:dyDescent="0.25">
      <c r="A6" s="183"/>
      <c r="B6" s="40" t="str">
        <f>invulblad!D16</f>
        <v>DWA-nooduitlaat</v>
      </c>
      <c r="C6" s="43" t="str">
        <f>invulblad!E16</f>
        <v>m3 bij T=1</v>
      </c>
      <c r="D6" s="35">
        <v>1</v>
      </c>
      <c r="E6" s="24" t="s">
        <v>318</v>
      </c>
      <c r="F6" s="23">
        <v>600</v>
      </c>
      <c r="G6" s="25">
        <v>220</v>
      </c>
      <c r="H6" s="33">
        <v>30</v>
      </c>
      <c r="I6" s="24" t="s">
        <v>56</v>
      </c>
      <c r="J6" s="218">
        <v>6.5</v>
      </c>
      <c r="K6" s="26">
        <f t="shared" si="0"/>
        <v>44</v>
      </c>
      <c r="L6" s="248">
        <f t="shared" si="0"/>
        <v>6</v>
      </c>
      <c r="M6" s="491">
        <f>IF(F6="","geen kental ingevuld",(F6-G6)*$D6/365)</f>
        <v>1.0410958904109588</v>
      </c>
      <c r="N6" s="26">
        <v>30</v>
      </c>
    </row>
    <row r="7" spans="1:14" ht="13.5" customHeight="1" thickBot="1" x14ac:dyDescent="0.25">
      <c r="A7" s="205" t="s">
        <v>55</v>
      </c>
      <c r="B7" s="208"/>
      <c r="C7" s="209"/>
      <c r="D7" s="210"/>
      <c r="E7" s="209"/>
      <c r="F7" s="209"/>
      <c r="G7" s="209"/>
      <c r="H7" s="209"/>
      <c r="I7" s="209"/>
      <c r="J7" s="209"/>
      <c r="K7" s="210"/>
      <c r="L7" s="210"/>
      <c r="M7" s="210"/>
      <c r="N7" s="210"/>
    </row>
    <row r="8" spans="1:14" ht="13.5" customHeight="1" x14ac:dyDescent="0.2">
      <c r="B8" s="38" t="str">
        <f>invulblad!D20</f>
        <v>RWZI effluent</v>
      </c>
      <c r="C8" s="41" t="str">
        <f>invulblad!E20</f>
        <v>m3/dag</v>
      </c>
      <c r="D8" s="31">
        <v>1</v>
      </c>
      <c r="E8" s="213" t="s">
        <v>57</v>
      </c>
      <c r="F8" s="31">
        <v>10.199999999999999</v>
      </c>
      <c r="G8" s="219">
        <v>4</v>
      </c>
      <c r="H8" s="704">
        <v>1</v>
      </c>
      <c r="I8" s="216" t="s">
        <v>56</v>
      </c>
      <c r="J8" s="216">
        <v>3</v>
      </c>
      <c r="K8" s="30">
        <f t="shared" ref="K8:K23" si="1">IF(G8="","geen kental ingevuld",G8*$D8)</f>
        <v>4</v>
      </c>
      <c r="L8" s="246">
        <f t="shared" ref="L8:L23" si="2">IF(H8="","geen kental ingevuld",H8*$D8)</f>
        <v>1</v>
      </c>
      <c r="M8" s="246">
        <f>IF(F8="","geen kental ingevuld",(F8-G8)*$D8)</f>
        <v>6.1999999999999993</v>
      </c>
      <c r="N8" s="30">
        <v>1</v>
      </c>
    </row>
    <row r="9" spans="1:14" ht="13.5" customHeight="1" x14ac:dyDescent="0.2">
      <c r="B9" s="39" t="str">
        <f>invulblad!D21</f>
        <v>hemelwaterafvoer</v>
      </c>
      <c r="C9" s="42" t="str">
        <f>invulblad!E21</f>
        <v>m3/dag</v>
      </c>
      <c r="D9" s="34">
        <v>1</v>
      </c>
      <c r="E9" s="214" t="s">
        <v>57</v>
      </c>
      <c r="F9" s="20">
        <v>37</v>
      </c>
      <c r="G9" s="21">
        <v>4</v>
      </c>
      <c r="H9" s="339">
        <v>1</v>
      </c>
      <c r="I9" s="217" t="s">
        <v>56</v>
      </c>
      <c r="J9" s="217">
        <v>0</v>
      </c>
      <c r="K9" s="22">
        <f t="shared" si="1"/>
        <v>4</v>
      </c>
      <c r="L9" s="335">
        <f t="shared" si="2"/>
        <v>1</v>
      </c>
      <c r="M9" s="22">
        <f t="shared" ref="M9:M23" si="3">IF(F9="","geen kental ingevuld",(F9-G9)*$D9)</f>
        <v>33</v>
      </c>
      <c r="N9" s="22">
        <v>1</v>
      </c>
    </row>
    <row r="10" spans="1:14" ht="13.5" customHeight="1" x14ac:dyDescent="0.2">
      <c r="B10" s="39" t="str">
        <f>invulblad!D22</f>
        <v>septic tanks</v>
      </c>
      <c r="C10" s="42" t="str">
        <f>invulblad!E22</f>
        <v>aantal</v>
      </c>
      <c r="D10" s="20">
        <v>0.5</v>
      </c>
      <c r="E10" s="214" t="s">
        <v>57</v>
      </c>
      <c r="F10" s="20">
        <v>750</v>
      </c>
      <c r="G10" s="21">
        <v>450</v>
      </c>
      <c r="H10" s="339">
        <v>30</v>
      </c>
      <c r="I10" s="217" t="s">
        <v>56</v>
      </c>
      <c r="J10" s="217">
        <v>0</v>
      </c>
      <c r="K10" s="22">
        <f t="shared" si="1"/>
        <v>225</v>
      </c>
      <c r="L10" s="335">
        <f t="shared" si="2"/>
        <v>15</v>
      </c>
      <c r="M10" s="22">
        <f t="shared" si="3"/>
        <v>150</v>
      </c>
      <c r="N10" s="22">
        <v>1</v>
      </c>
    </row>
    <row r="11" spans="1:14" ht="13.5" customHeight="1" x14ac:dyDescent="0.2">
      <c r="B11" s="39" t="str">
        <f>invulblad!D23</f>
        <v>IBA's</v>
      </c>
      <c r="C11" s="42" t="str">
        <f>invulblad!E23</f>
        <v>aantal</v>
      </c>
      <c r="D11" s="20">
        <v>0.5</v>
      </c>
      <c r="E11" s="214" t="s">
        <v>57</v>
      </c>
      <c r="F11" s="20">
        <v>130</v>
      </c>
      <c r="G11" s="21">
        <v>23</v>
      </c>
      <c r="H11" s="339">
        <v>15</v>
      </c>
      <c r="I11" s="217" t="s">
        <v>56</v>
      </c>
      <c r="J11" s="217">
        <v>0</v>
      </c>
      <c r="K11" s="22">
        <f t="shared" si="1"/>
        <v>11.5</v>
      </c>
      <c r="L11" s="335">
        <f t="shared" si="2"/>
        <v>7.5</v>
      </c>
      <c r="M11" s="22">
        <f t="shared" si="3"/>
        <v>53.5</v>
      </c>
      <c r="N11" s="22">
        <v>1</v>
      </c>
    </row>
    <row r="12" spans="1:14" ht="13.5" customHeight="1" x14ac:dyDescent="0.2">
      <c r="B12" s="39" t="str">
        <f>invulblad!D24</f>
        <v>bladval loofbomen</v>
      </c>
      <c r="C12" s="42" t="str">
        <f>invulblad!E24</f>
        <v>m2 boomkruin</v>
      </c>
      <c r="D12" s="20">
        <v>1</v>
      </c>
      <c r="E12" s="214" t="s">
        <v>71</v>
      </c>
      <c r="F12" s="20">
        <v>0.41099999999999998</v>
      </c>
      <c r="G12" s="21">
        <v>0</v>
      </c>
      <c r="H12" s="339">
        <v>0</v>
      </c>
      <c r="I12" s="217" t="s">
        <v>65</v>
      </c>
      <c r="J12" s="217" t="s">
        <v>470</v>
      </c>
      <c r="K12" s="44">
        <f t="shared" si="1"/>
        <v>0</v>
      </c>
      <c r="L12" s="22">
        <f t="shared" si="2"/>
        <v>0</v>
      </c>
      <c r="M12" s="44">
        <f t="shared" si="3"/>
        <v>0.41099999999999998</v>
      </c>
      <c r="N12" s="22">
        <v>100</v>
      </c>
    </row>
    <row r="13" spans="1:14" ht="13.5" customHeight="1" x14ac:dyDescent="0.2">
      <c r="B13" s="39" t="str">
        <f>invulblad!D25</f>
        <v>bladval naaldbomen</v>
      </c>
      <c r="C13" s="42" t="str">
        <f>invulblad!E25</f>
        <v>m2 boomkruin</v>
      </c>
      <c r="D13" s="20">
        <v>1</v>
      </c>
      <c r="E13" s="214" t="s">
        <v>71</v>
      </c>
      <c r="F13" s="20">
        <v>0.13700000000000001</v>
      </c>
      <c r="G13" s="21">
        <v>0</v>
      </c>
      <c r="H13" s="339">
        <v>0</v>
      </c>
      <c r="I13" s="217" t="s">
        <v>65</v>
      </c>
      <c r="J13" s="217" t="s">
        <v>470</v>
      </c>
      <c r="K13" s="44">
        <f t="shared" si="1"/>
        <v>0</v>
      </c>
      <c r="L13" s="22">
        <f t="shared" si="2"/>
        <v>0</v>
      </c>
      <c r="M13" s="44">
        <f t="shared" si="3"/>
        <v>0.13700000000000001</v>
      </c>
      <c r="N13" s="22">
        <v>100</v>
      </c>
    </row>
    <row r="14" spans="1:14" ht="13.5" customHeight="1" x14ac:dyDescent="0.2">
      <c r="B14" s="717" t="str">
        <f>invulblad!D26</f>
        <v>hondenpoep</v>
      </c>
      <c r="C14" s="713" t="str">
        <f>invulblad!E26</f>
        <v>aantal m oeverlengte</v>
      </c>
      <c r="D14" s="20">
        <v>1</v>
      </c>
      <c r="E14" s="214" t="s">
        <v>13</v>
      </c>
      <c r="F14" s="20">
        <f>0.8/100</f>
        <v>8.0000000000000002E-3</v>
      </c>
      <c r="G14" s="21">
        <f>0.4/100</f>
        <v>4.0000000000000001E-3</v>
      </c>
      <c r="H14" s="339">
        <v>0</v>
      </c>
      <c r="I14" s="217" t="s">
        <v>67</v>
      </c>
      <c r="J14" s="217" t="s">
        <v>470</v>
      </c>
      <c r="K14" s="44">
        <f t="shared" si="1"/>
        <v>4.0000000000000001E-3</v>
      </c>
      <c r="L14" s="22">
        <f t="shared" si="2"/>
        <v>0</v>
      </c>
      <c r="M14" s="44">
        <f t="shared" si="3"/>
        <v>4.0000000000000001E-3</v>
      </c>
      <c r="N14" s="22">
        <v>1</v>
      </c>
    </row>
    <row r="15" spans="1:14" ht="13.5" customHeight="1" x14ac:dyDescent="0.2">
      <c r="B15" s="718"/>
      <c r="C15" s="714"/>
      <c r="D15" s="20">
        <v>1</v>
      </c>
      <c r="E15" s="214" t="s">
        <v>13</v>
      </c>
      <c r="F15" s="20">
        <f>5/100</f>
        <v>0.05</v>
      </c>
      <c r="G15" s="21">
        <f>2.5/100</f>
        <v>2.5000000000000001E-2</v>
      </c>
      <c r="H15" s="339">
        <v>0</v>
      </c>
      <c r="I15" s="217" t="s">
        <v>67</v>
      </c>
      <c r="J15" s="217" t="s">
        <v>470</v>
      </c>
      <c r="K15" s="44">
        <f t="shared" si="1"/>
        <v>2.5000000000000001E-2</v>
      </c>
      <c r="L15" s="22">
        <f t="shared" si="2"/>
        <v>0</v>
      </c>
      <c r="M15" s="44">
        <f t="shared" si="3"/>
        <v>2.5000000000000001E-2</v>
      </c>
      <c r="N15" s="22">
        <v>1</v>
      </c>
    </row>
    <row r="16" spans="1:14" ht="13.5" customHeight="1" x14ac:dyDescent="0.2">
      <c r="B16" s="719"/>
      <c r="C16" s="716"/>
      <c r="D16" s="20">
        <v>1</v>
      </c>
      <c r="E16" s="214" t="s">
        <v>13</v>
      </c>
      <c r="F16" s="20">
        <f>12.6/100</f>
        <v>0.126</v>
      </c>
      <c r="G16" s="21">
        <f>6.3/100</f>
        <v>6.3E-2</v>
      </c>
      <c r="H16" s="339">
        <v>0</v>
      </c>
      <c r="I16" s="217" t="s">
        <v>67</v>
      </c>
      <c r="J16" s="217" t="s">
        <v>470</v>
      </c>
      <c r="K16" s="44">
        <f t="shared" si="1"/>
        <v>6.3E-2</v>
      </c>
      <c r="L16" s="22">
        <f t="shared" si="2"/>
        <v>0</v>
      </c>
      <c r="M16" s="44">
        <f t="shared" si="3"/>
        <v>6.3E-2</v>
      </c>
      <c r="N16" s="22">
        <v>1</v>
      </c>
    </row>
    <row r="17" spans="1:14" ht="13.5" customHeight="1" x14ac:dyDescent="0.2">
      <c r="B17" s="717" t="str">
        <f>invulblad!D29</f>
        <v>voeren vogels</v>
      </c>
      <c r="C17" s="713" t="str">
        <f>invulblad!E29</f>
        <v>aantal eenden</v>
      </c>
      <c r="D17" s="20">
        <v>1</v>
      </c>
      <c r="E17" s="214" t="s">
        <v>72</v>
      </c>
      <c r="F17" s="20">
        <v>45</v>
      </c>
      <c r="G17" s="21">
        <v>15</v>
      </c>
      <c r="H17" s="339">
        <v>0</v>
      </c>
      <c r="I17" s="217" t="s">
        <v>70</v>
      </c>
      <c r="J17" s="217" t="s">
        <v>470</v>
      </c>
      <c r="K17" s="22">
        <f t="shared" si="1"/>
        <v>15</v>
      </c>
      <c r="L17" s="22">
        <f t="shared" si="2"/>
        <v>0</v>
      </c>
      <c r="M17" s="22">
        <f t="shared" si="3"/>
        <v>30</v>
      </c>
      <c r="N17" s="22">
        <v>100</v>
      </c>
    </row>
    <row r="18" spans="1:14" ht="13.5" customHeight="1" x14ac:dyDescent="0.2">
      <c r="B18" s="718"/>
      <c r="C18" s="714"/>
      <c r="D18" s="20">
        <v>1</v>
      </c>
      <c r="E18" s="214" t="s">
        <v>72</v>
      </c>
      <c r="F18" s="20">
        <v>170</v>
      </c>
      <c r="G18" s="21">
        <v>40</v>
      </c>
      <c r="H18" s="339">
        <v>0</v>
      </c>
      <c r="I18" s="217" t="s">
        <v>70</v>
      </c>
      <c r="J18" s="217" t="s">
        <v>470</v>
      </c>
      <c r="K18" s="22">
        <f t="shared" si="1"/>
        <v>40</v>
      </c>
      <c r="L18" s="22">
        <f t="shared" si="2"/>
        <v>0</v>
      </c>
      <c r="M18" s="22">
        <f t="shared" si="3"/>
        <v>130</v>
      </c>
      <c r="N18" s="22">
        <v>100</v>
      </c>
    </row>
    <row r="19" spans="1:14" ht="13.5" customHeight="1" x14ac:dyDescent="0.2">
      <c r="B19" s="719"/>
      <c r="C19" s="716"/>
      <c r="D19" s="20">
        <v>1</v>
      </c>
      <c r="E19" s="214" t="s">
        <v>72</v>
      </c>
      <c r="F19" s="20">
        <v>380</v>
      </c>
      <c r="G19" s="21">
        <v>80</v>
      </c>
      <c r="H19" s="339">
        <v>0</v>
      </c>
      <c r="I19" s="217" t="s">
        <v>70</v>
      </c>
      <c r="J19" s="217" t="s">
        <v>470</v>
      </c>
      <c r="K19" s="22">
        <f t="shared" si="1"/>
        <v>80</v>
      </c>
      <c r="L19" s="22">
        <f t="shared" si="2"/>
        <v>0</v>
      </c>
      <c r="M19" s="22">
        <f t="shared" si="3"/>
        <v>300</v>
      </c>
      <c r="N19" s="22">
        <v>100</v>
      </c>
    </row>
    <row r="20" spans="1:14" ht="13.5" customHeight="1" x14ac:dyDescent="0.2">
      <c r="B20" s="39" t="str">
        <f>invulblad!D32</f>
        <v>lokvoer vissen</v>
      </c>
      <c r="C20" s="42" t="str">
        <f>invulblad!E32</f>
        <v>aantal vissers</v>
      </c>
      <c r="D20" s="20">
        <v>1</v>
      </c>
      <c r="E20" s="214" t="s">
        <v>72</v>
      </c>
      <c r="F20" s="20">
        <v>1000</v>
      </c>
      <c r="G20" s="21">
        <v>100</v>
      </c>
      <c r="H20" s="339">
        <v>0</v>
      </c>
      <c r="I20" s="217" t="s">
        <v>77</v>
      </c>
      <c r="J20" s="217" t="s">
        <v>470</v>
      </c>
      <c r="K20" s="22">
        <f t="shared" si="1"/>
        <v>100</v>
      </c>
      <c r="L20" s="22">
        <f t="shared" si="2"/>
        <v>0</v>
      </c>
      <c r="M20" s="22">
        <f t="shared" si="3"/>
        <v>900</v>
      </c>
      <c r="N20" s="22">
        <v>100</v>
      </c>
    </row>
    <row r="21" spans="1:14" ht="13.5" customHeight="1" x14ac:dyDescent="0.2">
      <c r="B21" s="710" t="str">
        <f>invulblad!D33</f>
        <v>afspoeling mest</v>
      </c>
      <c r="C21" s="713" t="str">
        <f>invulblad!E33</f>
        <v>aantal m2 landbouwgrond</v>
      </c>
      <c r="D21" s="20">
        <v>1</v>
      </c>
      <c r="E21" s="214" t="s">
        <v>71</v>
      </c>
      <c r="F21" s="20">
        <v>3.1E-2</v>
      </c>
      <c r="G21" s="705">
        <v>1.55E-2</v>
      </c>
      <c r="H21" s="502">
        <v>1.6000000000000001E-3</v>
      </c>
      <c r="I21" s="217" t="s">
        <v>65</v>
      </c>
      <c r="J21" s="217" t="s">
        <v>470</v>
      </c>
      <c r="K21" s="44">
        <f t="shared" si="1"/>
        <v>1.55E-2</v>
      </c>
      <c r="L21" s="336">
        <f t="shared" si="2"/>
        <v>1.6000000000000001E-3</v>
      </c>
      <c r="M21" s="44">
        <f t="shared" si="3"/>
        <v>1.55E-2</v>
      </c>
      <c r="N21" s="22">
        <v>1</v>
      </c>
    </row>
    <row r="22" spans="1:14" ht="13.5" customHeight="1" x14ac:dyDescent="0.2">
      <c r="B22" s="711"/>
      <c r="C22" s="714"/>
      <c r="D22" s="20">
        <v>1</v>
      </c>
      <c r="E22" s="214" t="s">
        <v>71</v>
      </c>
      <c r="F22" s="20">
        <v>7.0999999999999994E-2</v>
      </c>
      <c r="G22" s="705">
        <v>3.5499999999999997E-2</v>
      </c>
      <c r="H22" s="502">
        <v>3.8999999999999998E-3</v>
      </c>
      <c r="I22" s="217" t="s">
        <v>65</v>
      </c>
      <c r="J22" s="217" t="s">
        <v>470</v>
      </c>
      <c r="K22" s="44">
        <f t="shared" si="1"/>
        <v>3.5499999999999997E-2</v>
      </c>
      <c r="L22" s="336">
        <f t="shared" si="2"/>
        <v>3.8999999999999998E-3</v>
      </c>
      <c r="M22" s="44">
        <f t="shared" si="3"/>
        <v>3.5499999999999997E-2</v>
      </c>
      <c r="N22" s="22">
        <v>1</v>
      </c>
    </row>
    <row r="23" spans="1:14" ht="13.5" customHeight="1" thickBot="1" x14ac:dyDescent="0.25">
      <c r="B23" s="712"/>
      <c r="C23" s="715"/>
      <c r="D23" s="23">
        <v>1</v>
      </c>
      <c r="E23" s="215" t="s">
        <v>71</v>
      </c>
      <c r="F23" s="23">
        <v>0.14199999999999999</v>
      </c>
      <c r="G23" s="706">
        <v>7.0999999999999994E-2</v>
      </c>
      <c r="H23" s="503">
        <v>7.9000000000000008E-3</v>
      </c>
      <c r="I23" s="218" t="s">
        <v>65</v>
      </c>
      <c r="J23" s="218" t="s">
        <v>470</v>
      </c>
      <c r="K23" s="338">
        <f t="shared" si="1"/>
        <v>7.0999999999999994E-2</v>
      </c>
      <c r="L23" s="337">
        <f t="shared" si="2"/>
        <v>7.9000000000000008E-3</v>
      </c>
      <c r="M23" s="338">
        <f t="shared" si="3"/>
        <v>7.0999999999999994E-2</v>
      </c>
      <c r="N23" s="26">
        <v>1</v>
      </c>
    </row>
    <row r="27" spans="1:14" ht="27" thickBot="1" x14ac:dyDescent="0.45">
      <c r="A27" s="203" t="s">
        <v>269</v>
      </c>
    </row>
    <row r="28" spans="1:14" ht="15.75" customHeight="1" thickBot="1" x14ac:dyDescent="0.25">
      <c r="C28" s="207"/>
      <c r="D28" s="720" t="s">
        <v>50</v>
      </c>
      <c r="E28" s="722"/>
      <c r="F28" s="720" t="s">
        <v>51</v>
      </c>
      <c r="G28" s="721"/>
      <c r="H28" s="721"/>
      <c r="I28" s="721"/>
      <c r="J28" s="722"/>
      <c r="K28" s="720" t="s">
        <v>52</v>
      </c>
      <c r="L28" s="721"/>
      <c r="M28" s="722"/>
      <c r="N28" s="510" t="s">
        <v>393</v>
      </c>
    </row>
    <row r="29" spans="1:14" ht="54" thickBot="1" x14ac:dyDescent="0.3">
      <c r="A29" s="204" t="s">
        <v>54</v>
      </c>
      <c r="C29" s="36" t="s">
        <v>58</v>
      </c>
      <c r="D29" s="48" t="s">
        <v>69</v>
      </c>
      <c r="E29" s="49" t="s">
        <v>35</v>
      </c>
      <c r="F29" s="48" t="s">
        <v>469</v>
      </c>
      <c r="G29" s="51" t="s">
        <v>465</v>
      </c>
      <c r="H29" s="50" t="s">
        <v>162</v>
      </c>
      <c r="I29" s="49" t="s">
        <v>27</v>
      </c>
      <c r="J29" s="696" t="s">
        <v>463</v>
      </c>
      <c r="K29" s="36" t="s">
        <v>467</v>
      </c>
      <c r="L29" s="36" t="s">
        <v>391</v>
      </c>
      <c r="M29" s="36" t="s">
        <v>466</v>
      </c>
      <c r="N29" s="49" t="s">
        <v>468</v>
      </c>
    </row>
    <row r="30" spans="1:14" ht="15" x14ac:dyDescent="0.2">
      <c r="A30" s="183"/>
      <c r="B30" s="38" t="str">
        <f>B4</f>
        <v>overstort gemengd stelsel</v>
      </c>
      <c r="C30" s="221" t="str">
        <f t="shared" ref="C30:C32" si="4">C4</f>
        <v>m3 bij T=1</v>
      </c>
      <c r="D30" s="193">
        <v>1</v>
      </c>
      <c r="E30" s="28" t="s">
        <v>318</v>
      </c>
      <c r="F30" s="194">
        <v>180</v>
      </c>
      <c r="G30" s="240">
        <v>50</v>
      </c>
      <c r="H30" s="241">
        <v>4</v>
      </c>
      <c r="I30" s="225" t="s">
        <v>155</v>
      </c>
      <c r="J30" s="700">
        <v>6.5</v>
      </c>
      <c r="K30" s="229">
        <f t="shared" ref="K30:L32" si="5">IF(G30="","geen kental ingevuld",G30*$D30/5)</f>
        <v>10</v>
      </c>
      <c r="L30" s="249">
        <f t="shared" si="5"/>
        <v>0.8</v>
      </c>
      <c r="M30" s="492">
        <f>IF(F30="","geen kental ingevuld",(F30-G30)*$D30/365)</f>
        <v>0.35616438356164382</v>
      </c>
      <c r="N30" s="541">
        <v>30</v>
      </c>
    </row>
    <row r="31" spans="1:14" ht="15" x14ac:dyDescent="0.2">
      <c r="A31" s="183"/>
      <c r="B31" s="185" t="str">
        <f t="shared" ref="B31:B32" si="6">B5</f>
        <v>overstort gemengd stelsel+BB-basin</v>
      </c>
      <c r="C31" s="222" t="str">
        <f t="shared" si="4"/>
        <v>m3 bij T=1</v>
      </c>
      <c r="D31" s="195">
        <v>1</v>
      </c>
      <c r="E31" s="188" t="s">
        <v>318</v>
      </c>
      <c r="F31" s="196">
        <v>99</v>
      </c>
      <c r="G31" s="242">
        <v>27.5</v>
      </c>
      <c r="H31" s="243">
        <v>4</v>
      </c>
      <c r="I31" s="226" t="s">
        <v>155</v>
      </c>
      <c r="J31" s="701">
        <v>6.5</v>
      </c>
      <c r="K31" s="230">
        <f t="shared" si="5"/>
        <v>5.5</v>
      </c>
      <c r="L31" s="250">
        <f t="shared" si="5"/>
        <v>0.8</v>
      </c>
      <c r="M31" s="493">
        <f>IF(F31="","geen kental ingevuld",(F31-G31)*$D31/365)</f>
        <v>0.19589041095890411</v>
      </c>
      <c r="N31" s="542">
        <v>30</v>
      </c>
    </row>
    <row r="32" spans="1:14" ht="15.75" thickBot="1" x14ac:dyDescent="0.25">
      <c r="A32" s="183"/>
      <c r="B32" s="40" t="str">
        <f t="shared" si="6"/>
        <v>DWA-nooduitlaat</v>
      </c>
      <c r="C32" s="223" t="str">
        <f t="shared" si="4"/>
        <v>m3 bij T=1</v>
      </c>
      <c r="D32" s="197">
        <v>1</v>
      </c>
      <c r="E32" s="24" t="s">
        <v>318</v>
      </c>
      <c r="F32" s="198">
        <v>600</v>
      </c>
      <c r="G32" s="199">
        <v>220</v>
      </c>
      <c r="H32" s="239">
        <v>30</v>
      </c>
      <c r="I32" s="227" t="s">
        <v>155</v>
      </c>
      <c r="J32" s="702">
        <v>6.5</v>
      </c>
      <c r="K32" s="231">
        <f t="shared" si="5"/>
        <v>44</v>
      </c>
      <c r="L32" s="231">
        <f t="shared" si="5"/>
        <v>6</v>
      </c>
      <c r="M32" s="235">
        <f>IF(F32="","geen kental ingevuld",(F32-G32)*$D32/365)</f>
        <v>1.0410958904109588</v>
      </c>
      <c r="N32" s="543">
        <v>30</v>
      </c>
    </row>
    <row r="33" spans="1:14" ht="13.5" thickBot="1" x14ac:dyDescent="0.25">
      <c r="A33" s="205" t="s">
        <v>55</v>
      </c>
      <c r="B33" s="208"/>
      <c r="C33" s="211"/>
      <c r="D33" s="212"/>
      <c r="E33" s="211"/>
      <c r="F33" s="211"/>
      <c r="G33" s="211"/>
      <c r="H33" s="211"/>
      <c r="I33" s="211"/>
      <c r="J33" s="211"/>
      <c r="K33" s="212"/>
      <c r="L33" s="212"/>
      <c r="M33" s="212"/>
      <c r="N33" s="212"/>
    </row>
    <row r="34" spans="1:14" ht="15" x14ac:dyDescent="0.2">
      <c r="B34" s="38" t="str">
        <f t="shared" ref="B34:C49" si="7">B8</f>
        <v>RWZI effluent</v>
      </c>
      <c r="C34" s="221" t="str">
        <f t="shared" si="7"/>
        <v>m3/dag</v>
      </c>
      <c r="D34" s="193">
        <v>1</v>
      </c>
      <c r="E34" s="225" t="s">
        <v>156</v>
      </c>
      <c r="F34" s="193">
        <v>10.199999999999999</v>
      </c>
      <c r="G34" s="244">
        <v>4</v>
      </c>
      <c r="H34" s="245">
        <v>1</v>
      </c>
      <c r="I34" s="225" t="s">
        <v>155</v>
      </c>
      <c r="J34" s="700">
        <v>3</v>
      </c>
      <c r="K34" s="229">
        <f t="shared" ref="K34:K49" si="8">IF(G34="","geen kental ingevuld",G34*$D34)</f>
        <v>4</v>
      </c>
      <c r="L34" s="229">
        <f t="shared" ref="L34:L49" si="9">IF(H34="","geen kental ingevuld",H34*$D34)</f>
        <v>1</v>
      </c>
      <c r="M34" s="229">
        <f t="shared" ref="M34:M49" si="10">IF(F34="","geen kental ingevuld",(F34-G34)*$D34)</f>
        <v>6.1999999999999993</v>
      </c>
      <c r="N34" s="541">
        <v>1</v>
      </c>
    </row>
    <row r="35" spans="1:14" ht="15" x14ac:dyDescent="0.2">
      <c r="B35" s="39" t="str">
        <f t="shared" si="7"/>
        <v>hemelwaterafvoer</v>
      </c>
      <c r="C35" s="224" t="str">
        <f t="shared" si="7"/>
        <v>m3/dag</v>
      </c>
      <c r="D35" s="200">
        <v>1</v>
      </c>
      <c r="E35" s="228" t="s">
        <v>156</v>
      </c>
      <c r="F35" s="201">
        <v>37</v>
      </c>
      <c r="G35" s="202">
        <v>4</v>
      </c>
      <c r="H35" s="238">
        <v>1</v>
      </c>
      <c r="I35" s="228" t="s">
        <v>155</v>
      </c>
      <c r="J35" s="703">
        <v>0</v>
      </c>
      <c r="K35" s="232">
        <f t="shared" si="8"/>
        <v>4</v>
      </c>
      <c r="L35" s="232">
        <f t="shared" si="9"/>
        <v>1</v>
      </c>
      <c r="M35" s="232">
        <f t="shared" si="10"/>
        <v>33</v>
      </c>
      <c r="N35" s="544">
        <v>1</v>
      </c>
    </row>
    <row r="36" spans="1:14" ht="15" x14ac:dyDescent="0.2">
      <c r="B36" s="39" t="str">
        <f t="shared" si="7"/>
        <v>septic tanks</v>
      </c>
      <c r="C36" s="224" t="str">
        <f t="shared" si="7"/>
        <v>aantal</v>
      </c>
      <c r="D36" s="201">
        <v>0.5</v>
      </c>
      <c r="E36" s="228" t="s">
        <v>156</v>
      </c>
      <c r="F36" s="201">
        <v>750</v>
      </c>
      <c r="G36" s="202">
        <v>450</v>
      </c>
      <c r="H36" s="238">
        <v>30</v>
      </c>
      <c r="I36" s="228" t="s">
        <v>155</v>
      </c>
      <c r="J36" s="703">
        <v>0</v>
      </c>
      <c r="K36" s="232">
        <f t="shared" si="8"/>
        <v>225</v>
      </c>
      <c r="L36" s="232">
        <f t="shared" si="9"/>
        <v>15</v>
      </c>
      <c r="M36" s="232">
        <f t="shared" si="10"/>
        <v>150</v>
      </c>
      <c r="N36" s="544">
        <v>1</v>
      </c>
    </row>
    <row r="37" spans="1:14" ht="15" x14ac:dyDescent="0.2">
      <c r="B37" s="39" t="str">
        <f t="shared" si="7"/>
        <v>IBA's</v>
      </c>
      <c r="C37" s="224" t="str">
        <f t="shared" si="7"/>
        <v>aantal</v>
      </c>
      <c r="D37" s="201">
        <v>0.5</v>
      </c>
      <c r="E37" s="228" t="s">
        <v>156</v>
      </c>
      <c r="F37" s="201">
        <v>130</v>
      </c>
      <c r="G37" s="202">
        <v>23</v>
      </c>
      <c r="H37" s="238">
        <v>15</v>
      </c>
      <c r="I37" s="228" t="s">
        <v>155</v>
      </c>
      <c r="J37" s="703">
        <v>0</v>
      </c>
      <c r="K37" s="232">
        <f t="shared" si="8"/>
        <v>11.5</v>
      </c>
      <c r="L37" s="232">
        <f t="shared" si="9"/>
        <v>7.5</v>
      </c>
      <c r="M37" s="232">
        <f t="shared" si="10"/>
        <v>53.5</v>
      </c>
      <c r="N37" s="544">
        <v>1</v>
      </c>
    </row>
    <row r="38" spans="1:14" ht="15" x14ac:dyDescent="0.2">
      <c r="B38" s="39" t="str">
        <f t="shared" si="7"/>
        <v>bladval loofbomen</v>
      </c>
      <c r="C38" s="224" t="str">
        <f t="shared" si="7"/>
        <v>m2 boomkruin</v>
      </c>
      <c r="D38" s="201">
        <v>1</v>
      </c>
      <c r="E38" s="228" t="s">
        <v>157</v>
      </c>
      <c r="F38" s="201">
        <v>0.41099999999999998</v>
      </c>
      <c r="G38" s="202">
        <v>0</v>
      </c>
      <c r="H38" s="238">
        <v>0</v>
      </c>
      <c r="I38" s="228" t="s">
        <v>158</v>
      </c>
      <c r="J38" s="699" t="s">
        <v>470</v>
      </c>
      <c r="K38" s="233">
        <f t="shared" si="8"/>
        <v>0</v>
      </c>
      <c r="L38" s="232">
        <f t="shared" si="9"/>
        <v>0</v>
      </c>
      <c r="M38" s="233">
        <f t="shared" si="10"/>
        <v>0.41099999999999998</v>
      </c>
      <c r="N38" s="544">
        <v>100</v>
      </c>
    </row>
    <row r="39" spans="1:14" ht="15" x14ac:dyDescent="0.2">
      <c r="B39" s="39" t="str">
        <f t="shared" si="7"/>
        <v>bladval naaldbomen</v>
      </c>
      <c r="C39" s="224" t="str">
        <f t="shared" si="7"/>
        <v>m2 boomkruin</v>
      </c>
      <c r="D39" s="201">
        <v>1</v>
      </c>
      <c r="E39" s="228" t="s">
        <v>157</v>
      </c>
      <c r="F39" s="201">
        <v>0.13700000000000001</v>
      </c>
      <c r="G39" s="202">
        <v>0</v>
      </c>
      <c r="H39" s="238">
        <v>0</v>
      </c>
      <c r="I39" s="228" t="s">
        <v>158</v>
      </c>
      <c r="J39" s="699" t="s">
        <v>470</v>
      </c>
      <c r="K39" s="233">
        <f t="shared" si="8"/>
        <v>0</v>
      </c>
      <c r="L39" s="232">
        <f t="shared" si="9"/>
        <v>0</v>
      </c>
      <c r="M39" s="233">
        <f t="shared" si="10"/>
        <v>0.13700000000000001</v>
      </c>
      <c r="N39" s="544">
        <v>100</v>
      </c>
    </row>
    <row r="40" spans="1:14" x14ac:dyDescent="0.2">
      <c r="B40" s="717" t="str">
        <f t="shared" si="7"/>
        <v>hondenpoep</v>
      </c>
      <c r="C40" s="723" t="str">
        <f t="shared" si="7"/>
        <v>aantal m oeverlengte</v>
      </c>
      <c r="D40" s="201">
        <v>1</v>
      </c>
      <c r="E40" s="228" t="s">
        <v>13</v>
      </c>
      <c r="F40" s="201">
        <v>8.0000000000000002E-3</v>
      </c>
      <c r="G40" s="202">
        <v>4.0000000000000001E-3</v>
      </c>
      <c r="H40" s="238">
        <v>0</v>
      </c>
      <c r="I40" s="228" t="s">
        <v>67</v>
      </c>
      <c r="J40" s="699" t="s">
        <v>470</v>
      </c>
      <c r="K40" s="233">
        <f t="shared" si="8"/>
        <v>4.0000000000000001E-3</v>
      </c>
      <c r="L40" s="232">
        <f t="shared" si="9"/>
        <v>0</v>
      </c>
      <c r="M40" s="233">
        <f t="shared" si="10"/>
        <v>4.0000000000000001E-3</v>
      </c>
      <c r="N40" s="544">
        <v>1</v>
      </c>
    </row>
    <row r="41" spans="1:14" x14ac:dyDescent="0.2">
      <c r="B41" s="718">
        <f t="shared" si="7"/>
        <v>0</v>
      </c>
      <c r="C41" s="724">
        <f t="shared" si="7"/>
        <v>0</v>
      </c>
      <c r="D41" s="201">
        <v>1</v>
      </c>
      <c r="E41" s="228" t="s">
        <v>13</v>
      </c>
      <c r="F41" s="201">
        <v>0.05</v>
      </c>
      <c r="G41" s="202">
        <v>2.5000000000000001E-2</v>
      </c>
      <c r="H41" s="238">
        <v>0</v>
      </c>
      <c r="I41" s="228" t="s">
        <v>67</v>
      </c>
      <c r="J41" s="699" t="s">
        <v>470</v>
      </c>
      <c r="K41" s="233">
        <f t="shared" si="8"/>
        <v>2.5000000000000001E-2</v>
      </c>
      <c r="L41" s="232">
        <f t="shared" si="9"/>
        <v>0</v>
      </c>
      <c r="M41" s="233">
        <f t="shared" si="10"/>
        <v>2.5000000000000001E-2</v>
      </c>
      <c r="N41" s="544">
        <v>1</v>
      </c>
    </row>
    <row r="42" spans="1:14" x14ac:dyDescent="0.2">
      <c r="B42" s="719">
        <f t="shared" si="7"/>
        <v>0</v>
      </c>
      <c r="C42" s="726">
        <f t="shared" si="7"/>
        <v>0</v>
      </c>
      <c r="D42" s="201">
        <v>1</v>
      </c>
      <c r="E42" s="228" t="s">
        <v>13</v>
      </c>
      <c r="F42" s="201">
        <v>0.126</v>
      </c>
      <c r="G42" s="202">
        <v>6.3E-2</v>
      </c>
      <c r="H42" s="238">
        <v>0</v>
      </c>
      <c r="I42" s="228" t="s">
        <v>67</v>
      </c>
      <c r="J42" s="699" t="s">
        <v>470</v>
      </c>
      <c r="K42" s="233">
        <f t="shared" si="8"/>
        <v>6.3E-2</v>
      </c>
      <c r="L42" s="232">
        <f t="shared" si="9"/>
        <v>0</v>
      </c>
      <c r="M42" s="233">
        <f t="shared" si="10"/>
        <v>6.3E-2</v>
      </c>
      <c r="N42" s="544">
        <v>1</v>
      </c>
    </row>
    <row r="43" spans="1:14" x14ac:dyDescent="0.2">
      <c r="B43" s="717" t="str">
        <f t="shared" si="7"/>
        <v>voeren vogels</v>
      </c>
      <c r="C43" s="723" t="str">
        <f t="shared" si="7"/>
        <v>aantal eenden</v>
      </c>
      <c r="D43" s="201">
        <v>1</v>
      </c>
      <c r="E43" s="228" t="s">
        <v>72</v>
      </c>
      <c r="F43" s="201">
        <v>45</v>
      </c>
      <c r="G43" s="202">
        <v>15</v>
      </c>
      <c r="H43" s="238">
        <v>0</v>
      </c>
      <c r="I43" s="228" t="s">
        <v>70</v>
      </c>
      <c r="J43" s="699" t="s">
        <v>470</v>
      </c>
      <c r="K43" s="232">
        <f t="shared" si="8"/>
        <v>15</v>
      </c>
      <c r="L43" s="232">
        <f t="shared" si="9"/>
        <v>0</v>
      </c>
      <c r="M43" s="232">
        <f t="shared" si="10"/>
        <v>30</v>
      </c>
      <c r="N43" s="544">
        <v>100</v>
      </c>
    </row>
    <row r="44" spans="1:14" x14ac:dyDescent="0.2">
      <c r="B44" s="718">
        <f t="shared" si="7"/>
        <v>0</v>
      </c>
      <c r="C44" s="724">
        <f t="shared" si="7"/>
        <v>0</v>
      </c>
      <c r="D44" s="201">
        <v>1</v>
      </c>
      <c r="E44" s="228" t="s">
        <v>72</v>
      </c>
      <c r="F44" s="201">
        <v>170</v>
      </c>
      <c r="G44" s="202">
        <v>40</v>
      </c>
      <c r="H44" s="238">
        <v>0</v>
      </c>
      <c r="I44" s="228" t="s">
        <v>70</v>
      </c>
      <c r="J44" s="699" t="s">
        <v>470</v>
      </c>
      <c r="K44" s="232">
        <f t="shared" si="8"/>
        <v>40</v>
      </c>
      <c r="L44" s="232">
        <f t="shared" si="9"/>
        <v>0</v>
      </c>
      <c r="M44" s="232">
        <f t="shared" si="10"/>
        <v>130</v>
      </c>
      <c r="N44" s="544">
        <v>100</v>
      </c>
    </row>
    <row r="45" spans="1:14" x14ac:dyDescent="0.2">
      <c r="B45" s="719">
        <f t="shared" si="7"/>
        <v>0</v>
      </c>
      <c r="C45" s="726">
        <f t="shared" si="7"/>
        <v>0</v>
      </c>
      <c r="D45" s="201">
        <v>1</v>
      </c>
      <c r="E45" s="228" t="s">
        <v>72</v>
      </c>
      <c r="F45" s="201">
        <v>380</v>
      </c>
      <c r="G45" s="202">
        <v>80</v>
      </c>
      <c r="H45" s="238">
        <v>0</v>
      </c>
      <c r="I45" s="228" t="s">
        <v>70</v>
      </c>
      <c r="J45" s="699" t="s">
        <v>470</v>
      </c>
      <c r="K45" s="232">
        <f t="shared" si="8"/>
        <v>80</v>
      </c>
      <c r="L45" s="232">
        <f t="shared" si="9"/>
        <v>0</v>
      </c>
      <c r="M45" s="232">
        <f t="shared" si="10"/>
        <v>300</v>
      </c>
      <c r="N45" s="544">
        <v>100</v>
      </c>
    </row>
    <row r="46" spans="1:14" x14ac:dyDescent="0.2">
      <c r="B46" s="39" t="str">
        <f t="shared" si="7"/>
        <v>lokvoer vissen</v>
      </c>
      <c r="C46" s="224" t="str">
        <f t="shared" si="7"/>
        <v>aantal vissers</v>
      </c>
      <c r="D46" s="201">
        <v>1</v>
      </c>
      <c r="E46" s="228" t="s">
        <v>72</v>
      </c>
      <c r="F46" s="201">
        <v>1000</v>
      </c>
      <c r="G46" s="202">
        <v>100</v>
      </c>
      <c r="H46" s="238">
        <v>0</v>
      </c>
      <c r="I46" s="228" t="s">
        <v>77</v>
      </c>
      <c r="J46" s="699" t="s">
        <v>470</v>
      </c>
      <c r="K46" s="232">
        <f t="shared" si="8"/>
        <v>100</v>
      </c>
      <c r="L46" s="232">
        <f t="shared" si="9"/>
        <v>0</v>
      </c>
      <c r="M46" s="232">
        <f t="shared" si="10"/>
        <v>900</v>
      </c>
      <c r="N46" s="544">
        <v>100</v>
      </c>
    </row>
    <row r="47" spans="1:14" ht="15" x14ac:dyDescent="0.2">
      <c r="B47" s="710" t="str">
        <f t="shared" si="7"/>
        <v>afspoeling mest</v>
      </c>
      <c r="C47" s="723" t="str">
        <f t="shared" si="7"/>
        <v>aantal m2 landbouwgrond</v>
      </c>
      <c r="D47" s="201">
        <v>1</v>
      </c>
      <c r="E47" s="228" t="s">
        <v>157</v>
      </c>
      <c r="F47" s="202">
        <v>3.1E-2</v>
      </c>
      <c r="G47" s="202">
        <v>1.55E-2</v>
      </c>
      <c r="H47" s="504">
        <v>1.6000000000000001E-3</v>
      </c>
      <c r="I47" s="228" t="s">
        <v>158</v>
      </c>
      <c r="J47" s="699" t="s">
        <v>470</v>
      </c>
      <c r="K47" s="234">
        <f t="shared" si="8"/>
        <v>1.55E-2</v>
      </c>
      <c r="L47" s="234">
        <f t="shared" si="9"/>
        <v>1.6000000000000001E-3</v>
      </c>
      <c r="M47" s="234">
        <f t="shared" si="10"/>
        <v>1.55E-2</v>
      </c>
      <c r="N47" s="544">
        <v>1</v>
      </c>
    </row>
    <row r="48" spans="1:14" ht="15" x14ac:dyDescent="0.2">
      <c r="B48" s="711">
        <f t="shared" si="7"/>
        <v>0</v>
      </c>
      <c r="C48" s="724">
        <f t="shared" si="7"/>
        <v>0</v>
      </c>
      <c r="D48" s="201">
        <v>1</v>
      </c>
      <c r="E48" s="228" t="s">
        <v>157</v>
      </c>
      <c r="F48" s="202">
        <v>7.0999999999999994E-2</v>
      </c>
      <c r="G48" s="202">
        <v>3.5499999999999997E-2</v>
      </c>
      <c r="H48" s="504">
        <v>3.8999999999999998E-3</v>
      </c>
      <c r="I48" s="228" t="s">
        <v>158</v>
      </c>
      <c r="J48" s="699" t="s">
        <v>470</v>
      </c>
      <c r="K48" s="234">
        <f t="shared" si="8"/>
        <v>3.5499999999999997E-2</v>
      </c>
      <c r="L48" s="234">
        <f t="shared" si="9"/>
        <v>3.8999999999999998E-3</v>
      </c>
      <c r="M48" s="234">
        <f t="shared" si="10"/>
        <v>3.5499999999999997E-2</v>
      </c>
      <c r="N48" s="544">
        <v>1</v>
      </c>
    </row>
    <row r="49" spans="2:14" ht="15.75" thickBot="1" x14ac:dyDescent="0.25">
      <c r="B49" s="712">
        <f t="shared" si="7"/>
        <v>0</v>
      </c>
      <c r="C49" s="725">
        <f t="shared" si="7"/>
        <v>0</v>
      </c>
      <c r="D49" s="198">
        <v>1</v>
      </c>
      <c r="E49" s="227" t="s">
        <v>157</v>
      </c>
      <c r="F49" s="199">
        <v>0.14199999999999999</v>
      </c>
      <c r="G49" s="199">
        <v>7.0999999999999994E-2</v>
      </c>
      <c r="H49" s="505">
        <v>7.9000000000000008E-3</v>
      </c>
      <c r="I49" s="227" t="s">
        <v>158</v>
      </c>
      <c r="J49" s="698" t="s">
        <v>470</v>
      </c>
      <c r="K49" s="235">
        <f t="shared" si="8"/>
        <v>7.0999999999999994E-2</v>
      </c>
      <c r="L49" s="235">
        <f t="shared" si="9"/>
        <v>7.9000000000000008E-3</v>
      </c>
      <c r="M49" s="235">
        <f t="shared" si="10"/>
        <v>7.0999999999999994E-2</v>
      </c>
      <c r="N49" s="543">
        <v>1</v>
      </c>
    </row>
  </sheetData>
  <sheetProtection sheet="1" objects="1" scenarios="1"/>
  <protectedRanges>
    <protectedRange sqref="D30:D32 D34:D49 F30:H32 F34:H49 N30:N32 N34:N49 J30:J32 J34:J37" name="Bereik1"/>
  </protectedRanges>
  <mergeCells count="18">
    <mergeCell ref="K28:M28"/>
    <mergeCell ref="B47:B49"/>
    <mergeCell ref="C47:C49"/>
    <mergeCell ref="D28:E28"/>
    <mergeCell ref="B40:B42"/>
    <mergeCell ref="C40:C42"/>
    <mergeCell ref="B43:B45"/>
    <mergeCell ref="C43:C45"/>
    <mergeCell ref="F28:J28"/>
    <mergeCell ref="K2:M2"/>
    <mergeCell ref="B21:B23"/>
    <mergeCell ref="C21:C23"/>
    <mergeCell ref="D2:E2"/>
    <mergeCell ref="C14:C16"/>
    <mergeCell ref="B14:B16"/>
    <mergeCell ref="B17:B19"/>
    <mergeCell ref="C17:C19"/>
    <mergeCell ref="F2:J2"/>
  </mergeCells>
  <conditionalFormatting sqref="C28:F28 C33:J49 C30:D32 F30:J32 K30:N49">
    <cfRule type="cellIs" dxfId="69" priority="1" operator="notEqual">
      <formula>C2</formula>
    </cfRule>
  </conditionalFormatting>
  <conditionalFormatting sqref="K28">
    <cfRule type="cellIs" dxfId="68" priority="44" operator="notEqual">
      <formula>K2</formula>
    </cfRule>
  </conditionalFormatting>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tabColor rgb="FFFFFFCC"/>
  </sheetPr>
  <dimension ref="A1:R100"/>
  <sheetViews>
    <sheetView zoomScale="70" zoomScaleNormal="70" workbookViewId="0">
      <selection activeCell="G7" sqref="G7"/>
    </sheetView>
  </sheetViews>
  <sheetFormatPr defaultColWidth="8.85546875" defaultRowHeight="15.75" x14ac:dyDescent="0.25"/>
  <cols>
    <col min="1" max="1" width="4.7109375" style="1" customWidth="1"/>
    <col min="2" max="2" width="46" style="302" customWidth="1"/>
    <col min="3" max="14" width="18.7109375" style="2" customWidth="1"/>
    <col min="15" max="16384" width="8.85546875" style="1"/>
  </cols>
  <sheetData>
    <row r="1" spans="1:14" ht="28.5" x14ac:dyDescent="0.45">
      <c r="A1" s="78" t="s">
        <v>243</v>
      </c>
    </row>
    <row r="2" spans="1:14" s="265" customFormat="1" ht="18.75" x14ac:dyDescent="0.3">
      <c r="B2" s="303"/>
      <c r="C2" s="273"/>
      <c r="D2" s="273"/>
      <c r="E2" s="273"/>
      <c r="F2" s="273"/>
      <c r="G2" s="273"/>
      <c r="H2" s="273"/>
      <c r="I2" s="273"/>
      <c r="J2" s="273"/>
      <c r="K2" s="273"/>
      <c r="L2" s="273"/>
      <c r="M2" s="273"/>
      <c r="N2" s="273"/>
    </row>
    <row r="4" spans="1:14" ht="24" thickBot="1" x14ac:dyDescent="0.4">
      <c r="A4" s="271" t="s">
        <v>244</v>
      </c>
    </row>
    <row r="5" spans="1:14" ht="31.5" x14ac:dyDescent="0.35">
      <c r="A5" s="272"/>
      <c r="B5" s="304" t="s">
        <v>245</v>
      </c>
      <c r="C5" s="266" t="str">
        <f>invulblad!K11</f>
        <v>Voorbeeld</v>
      </c>
      <c r="D5" s="266" t="str">
        <f>invulblad!L11</f>
        <v>water_2</v>
      </c>
      <c r="E5" s="266" t="str">
        <f>invulblad!M11</f>
        <v>water_3</v>
      </c>
      <c r="F5" s="266" t="str">
        <f>invulblad!N11</f>
        <v>water_4</v>
      </c>
      <c r="G5" s="266" t="str">
        <f>invulblad!O11</f>
        <v>water_5</v>
      </c>
      <c r="H5" s="266" t="str">
        <f>invulblad!P11</f>
        <v>water_6</v>
      </c>
      <c r="I5" s="266" t="str">
        <f>invulblad!Q11</f>
        <v>water_7</v>
      </c>
      <c r="J5" s="266" t="str">
        <f>invulblad!R11</f>
        <v>water_8</v>
      </c>
      <c r="K5" s="266" t="str">
        <f>invulblad!S11</f>
        <v>water_9</v>
      </c>
      <c r="L5" s="266" t="str">
        <f>invulblad!T11</f>
        <v>water_10</v>
      </c>
      <c r="M5" s="266" t="str">
        <f>invulblad!U11</f>
        <v>water_11</v>
      </c>
      <c r="N5" s="270" t="str">
        <f>invulblad!V11</f>
        <v>water_12</v>
      </c>
    </row>
    <row r="6" spans="1:14" ht="18" customHeight="1" x14ac:dyDescent="0.35">
      <c r="A6" s="272"/>
      <c r="B6" s="305" t="s">
        <v>246</v>
      </c>
      <c r="C6" s="8">
        <v>75</v>
      </c>
      <c r="D6" s="8">
        <v>83</v>
      </c>
      <c r="E6" s="8"/>
      <c r="F6" s="8"/>
      <c r="G6" s="8"/>
      <c r="H6" s="8"/>
      <c r="I6" s="8"/>
      <c r="J6" s="8"/>
      <c r="K6" s="8"/>
      <c r="L6" s="8"/>
      <c r="M6" s="8"/>
      <c r="N6" s="275"/>
    </row>
    <row r="7" spans="1:14" ht="18" customHeight="1" x14ac:dyDescent="0.35">
      <c r="A7" s="272"/>
      <c r="B7" s="305" t="s">
        <v>258</v>
      </c>
      <c r="C7" s="5">
        <f>invulblad!K59</f>
        <v>1600</v>
      </c>
      <c r="D7" s="5" t="str">
        <f>invulblad!L59</f>
        <v/>
      </c>
      <c r="E7" s="5" t="str">
        <f>invulblad!M59</f>
        <v/>
      </c>
      <c r="F7" s="5" t="str">
        <f>invulblad!N59</f>
        <v/>
      </c>
      <c r="G7" s="5" t="str">
        <f>invulblad!O59</f>
        <v/>
      </c>
      <c r="H7" s="5" t="str">
        <f>invulblad!P59</f>
        <v/>
      </c>
      <c r="I7" s="5" t="str">
        <f>invulblad!Q59</f>
        <v/>
      </c>
      <c r="J7" s="5" t="str">
        <f>invulblad!R59</f>
        <v/>
      </c>
      <c r="K7" s="5" t="str">
        <f>invulblad!S59</f>
        <v/>
      </c>
      <c r="L7" s="5" t="str">
        <f>invulblad!T59</f>
        <v/>
      </c>
      <c r="M7" s="5" t="str">
        <f>invulblad!U59</f>
        <v/>
      </c>
      <c r="N7" s="276" t="str">
        <f>invulblad!V59</f>
        <v/>
      </c>
    </row>
    <row r="8" spans="1:14" ht="18" customHeight="1" x14ac:dyDescent="0.35">
      <c r="A8" s="272"/>
      <c r="B8" s="305"/>
      <c r="C8" s="277"/>
      <c r="D8" s="277"/>
      <c r="E8" s="277"/>
      <c r="F8" s="277"/>
      <c r="G8" s="277"/>
      <c r="H8" s="277"/>
      <c r="I8" s="277"/>
      <c r="J8" s="277"/>
      <c r="K8" s="277"/>
      <c r="L8" s="277"/>
      <c r="M8" s="277"/>
      <c r="N8" s="278"/>
    </row>
    <row r="9" spans="1:14" ht="18" customHeight="1" x14ac:dyDescent="0.35">
      <c r="A9" s="272"/>
      <c r="B9" s="306" t="s">
        <v>247</v>
      </c>
      <c r="C9" s="277"/>
      <c r="D9" s="277"/>
      <c r="E9" s="277"/>
      <c r="F9" s="277"/>
      <c r="G9" s="277"/>
      <c r="H9" s="277"/>
      <c r="I9" s="277"/>
      <c r="J9" s="277"/>
      <c r="K9" s="277"/>
      <c r="L9" s="277"/>
      <c r="M9" s="277"/>
      <c r="N9" s="278"/>
    </row>
    <row r="10" spans="1:14" ht="18" customHeight="1" thickBot="1" x14ac:dyDescent="0.4">
      <c r="A10" s="272"/>
      <c r="B10" s="307" t="s">
        <v>259</v>
      </c>
      <c r="C10" s="279">
        <f t="shared" ref="C10:N10" si="0">(C6/1000)*C7</f>
        <v>120</v>
      </c>
      <c r="D10" s="279" t="e">
        <f t="shared" si="0"/>
        <v>#VALUE!</v>
      </c>
      <c r="E10" s="279" t="e">
        <f t="shared" si="0"/>
        <v>#VALUE!</v>
      </c>
      <c r="F10" s="279" t="e">
        <f t="shared" si="0"/>
        <v>#VALUE!</v>
      </c>
      <c r="G10" s="279" t="e">
        <f t="shared" si="0"/>
        <v>#VALUE!</v>
      </c>
      <c r="H10" s="279" t="e">
        <f t="shared" si="0"/>
        <v>#VALUE!</v>
      </c>
      <c r="I10" s="279" t="e">
        <f t="shared" si="0"/>
        <v>#VALUE!</v>
      </c>
      <c r="J10" s="279" t="e">
        <f t="shared" si="0"/>
        <v>#VALUE!</v>
      </c>
      <c r="K10" s="279" t="e">
        <f t="shared" si="0"/>
        <v>#VALUE!</v>
      </c>
      <c r="L10" s="279" t="e">
        <f t="shared" si="0"/>
        <v>#VALUE!</v>
      </c>
      <c r="M10" s="279" t="e">
        <f t="shared" si="0"/>
        <v>#VALUE!</v>
      </c>
      <c r="N10" s="280" t="e">
        <f t="shared" si="0"/>
        <v>#VALUE!</v>
      </c>
    </row>
    <row r="11" spans="1:14" ht="23.25" x14ac:dyDescent="0.35">
      <c r="A11" s="272"/>
    </row>
    <row r="12" spans="1:14" ht="24" thickBot="1" x14ac:dyDescent="0.4">
      <c r="A12" s="271" t="s">
        <v>263</v>
      </c>
    </row>
    <row r="13" spans="1:14" ht="31.5" x14ac:dyDescent="0.35">
      <c r="A13" s="272"/>
      <c r="B13" s="304" t="s">
        <v>245</v>
      </c>
      <c r="C13" s="266" t="str">
        <f>invulblad!K11</f>
        <v>Voorbeeld</v>
      </c>
      <c r="D13" s="266" t="str">
        <f>invulblad!L11</f>
        <v>water_2</v>
      </c>
      <c r="E13" s="266" t="str">
        <f>invulblad!M11</f>
        <v>water_3</v>
      </c>
      <c r="F13" s="266" t="str">
        <f>invulblad!N11</f>
        <v>water_4</v>
      </c>
      <c r="G13" s="266" t="str">
        <f>invulblad!O11</f>
        <v>water_5</v>
      </c>
      <c r="H13" s="266" t="str">
        <f>invulblad!P11</f>
        <v>water_6</v>
      </c>
      <c r="I13" s="266" t="str">
        <f>invulblad!Q11</f>
        <v>water_7</v>
      </c>
      <c r="J13" s="266" t="str">
        <f>invulblad!R11</f>
        <v>water_8</v>
      </c>
      <c r="K13" s="266" t="str">
        <f>invulblad!S11</f>
        <v>water_9</v>
      </c>
      <c r="L13" s="266" t="str">
        <f>invulblad!T11</f>
        <v>water_10</v>
      </c>
      <c r="M13" s="266" t="str">
        <f>invulblad!U11</f>
        <v>water_11</v>
      </c>
      <c r="N13" s="270" t="str">
        <f>invulblad!V11</f>
        <v>water_12</v>
      </c>
    </row>
    <row r="14" spans="1:14" ht="18" customHeight="1" x14ac:dyDescent="0.35">
      <c r="A14" s="272"/>
      <c r="B14" s="305" t="s">
        <v>257</v>
      </c>
      <c r="C14" s="19">
        <v>1</v>
      </c>
      <c r="D14" s="19"/>
      <c r="E14" s="19"/>
      <c r="F14" s="19"/>
      <c r="G14" s="19"/>
      <c r="H14" s="19"/>
      <c r="I14" s="19"/>
      <c r="J14" s="19"/>
      <c r="K14" s="19"/>
      <c r="L14" s="19"/>
      <c r="M14" s="19"/>
      <c r="N14" s="282"/>
    </row>
    <row r="15" spans="1:14" ht="18" customHeight="1" x14ac:dyDescent="0.35">
      <c r="A15" s="272"/>
      <c r="B15" s="305" t="s">
        <v>260</v>
      </c>
      <c r="C15" s="3">
        <f>invulblad!K53*invulblad!K52</f>
        <v>4</v>
      </c>
      <c r="D15" s="3">
        <f>invulblad!L53*invulblad!L52</f>
        <v>0</v>
      </c>
      <c r="E15" s="3">
        <f>invulblad!M53*invulblad!M52</f>
        <v>0</v>
      </c>
      <c r="F15" s="3">
        <f>invulblad!N53*invulblad!N52</f>
        <v>0</v>
      </c>
      <c r="G15" s="3">
        <f>invulblad!O53*invulblad!O52</f>
        <v>0</v>
      </c>
      <c r="H15" s="3">
        <f>invulblad!P53*invulblad!P52</f>
        <v>0</v>
      </c>
      <c r="I15" s="3">
        <f>invulblad!Q53*invulblad!Q52</f>
        <v>0</v>
      </c>
      <c r="J15" s="3">
        <f>invulblad!R53*invulblad!R52</f>
        <v>0</v>
      </c>
      <c r="K15" s="3">
        <f>invulblad!S53*invulblad!S52</f>
        <v>0</v>
      </c>
      <c r="L15" s="3">
        <f>invulblad!T53*invulblad!T52</f>
        <v>0</v>
      </c>
      <c r="M15" s="3">
        <f>invulblad!U53*invulblad!U52</f>
        <v>0</v>
      </c>
      <c r="N15" s="281">
        <f>invulblad!V53*invulblad!V52</f>
        <v>0</v>
      </c>
    </row>
    <row r="16" spans="1:14" ht="18" customHeight="1" x14ac:dyDescent="0.35">
      <c r="A16" s="272"/>
      <c r="B16" s="305"/>
      <c r="C16" s="277"/>
      <c r="D16" s="277"/>
      <c r="E16" s="277"/>
      <c r="F16" s="277"/>
      <c r="G16" s="277"/>
      <c r="H16" s="277"/>
      <c r="I16" s="277"/>
      <c r="J16" s="277"/>
      <c r="K16" s="277"/>
      <c r="L16" s="277"/>
      <c r="M16" s="277"/>
      <c r="N16" s="278"/>
    </row>
    <row r="17" spans="1:17" ht="18" customHeight="1" x14ac:dyDescent="0.35">
      <c r="A17" s="272"/>
      <c r="B17" s="306" t="s">
        <v>247</v>
      </c>
      <c r="C17" s="277"/>
      <c r="D17" s="277"/>
      <c r="E17" s="277"/>
      <c r="F17" s="277"/>
      <c r="G17" s="277"/>
      <c r="H17" s="277"/>
      <c r="I17" s="277"/>
      <c r="J17" s="277"/>
      <c r="K17" s="277"/>
      <c r="L17" s="277"/>
      <c r="M17" s="277"/>
      <c r="N17" s="278"/>
    </row>
    <row r="18" spans="1:17" ht="18" customHeight="1" thickBot="1" x14ac:dyDescent="0.4">
      <c r="A18" s="272"/>
      <c r="B18" s="307" t="s">
        <v>259</v>
      </c>
      <c r="C18" s="279">
        <f>(C14/100*3600*24)*C15</f>
        <v>3456</v>
      </c>
      <c r="D18" s="279">
        <f t="shared" ref="D18:N18" si="1">(D14/100*3600*24)*D15</f>
        <v>0</v>
      </c>
      <c r="E18" s="279">
        <f t="shared" si="1"/>
        <v>0</v>
      </c>
      <c r="F18" s="279">
        <f t="shared" si="1"/>
        <v>0</v>
      </c>
      <c r="G18" s="279">
        <f t="shared" si="1"/>
        <v>0</v>
      </c>
      <c r="H18" s="279">
        <f t="shared" si="1"/>
        <v>0</v>
      </c>
      <c r="I18" s="279">
        <f t="shared" si="1"/>
        <v>0</v>
      </c>
      <c r="J18" s="279">
        <f t="shared" si="1"/>
        <v>0</v>
      </c>
      <c r="K18" s="279">
        <f t="shared" si="1"/>
        <v>0</v>
      </c>
      <c r="L18" s="279">
        <f t="shared" si="1"/>
        <v>0</v>
      </c>
      <c r="M18" s="279">
        <f t="shared" si="1"/>
        <v>0</v>
      </c>
      <c r="N18" s="280">
        <f t="shared" si="1"/>
        <v>0</v>
      </c>
    </row>
    <row r="19" spans="1:17" ht="23.25" x14ac:dyDescent="0.35">
      <c r="A19" s="272"/>
    </row>
    <row r="20" spans="1:17" ht="24" thickBot="1" x14ac:dyDescent="0.4">
      <c r="A20" s="271" t="s">
        <v>248</v>
      </c>
    </row>
    <row r="21" spans="1:17" ht="31.5" x14ac:dyDescent="0.35">
      <c r="A21" s="272"/>
      <c r="B21" s="304" t="s">
        <v>249</v>
      </c>
      <c r="C21" s="299" t="str">
        <f>invulblad!K11</f>
        <v>Voorbeeld</v>
      </c>
      <c r="D21" s="299" t="str">
        <f>invulblad!L11</f>
        <v>water_2</v>
      </c>
      <c r="E21" s="299" t="str">
        <f>invulblad!M11</f>
        <v>water_3</v>
      </c>
      <c r="F21" s="299" t="str">
        <f>invulblad!N11</f>
        <v>water_4</v>
      </c>
      <c r="G21" s="299" t="str">
        <f>invulblad!O11</f>
        <v>water_5</v>
      </c>
      <c r="H21" s="299" t="str">
        <f>invulblad!P11</f>
        <v>water_6</v>
      </c>
      <c r="I21" s="299" t="str">
        <f>invulblad!Q11</f>
        <v>water_7</v>
      </c>
      <c r="J21" s="299" t="str">
        <f>invulblad!R11</f>
        <v>water_8</v>
      </c>
      <c r="K21" s="299" t="str">
        <f>invulblad!S11</f>
        <v>water_9</v>
      </c>
      <c r="L21" s="299" t="str">
        <f>invulblad!T11</f>
        <v>water_10</v>
      </c>
      <c r="M21" s="299" t="str">
        <f>invulblad!U11</f>
        <v>water_11</v>
      </c>
      <c r="N21" s="300" t="str">
        <f>invulblad!V11</f>
        <v>water_12</v>
      </c>
    </row>
    <row r="22" spans="1:17" ht="18" customHeight="1" x14ac:dyDescent="0.35">
      <c r="A22" s="272"/>
      <c r="B22" s="305" t="s">
        <v>220</v>
      </c>
      <c r="C22" s="332">
        <f>C7</f>
        <v>1600</v>
      </c>
      <c r="D22" s="332" t="str">
        <f t="shared" ref="D22:N22" si="2">D7</f>
        <v/>
      </c>
      <c r="E22" s="332" t="str">
        <f t="shared" si="2"/>
        <v/>
      </c>
      <c r="F22" s="332" t="str">
        <f t="shared" si="2"/>
        <v/>
      </c>
      <c r="G22" s="332" t="str">
        <f t="shared" si="2"/>
        <v/>
      </c>
      <c r="H22" s="332" t="str">
        <f t="shared" si="2"/>
        <v/>
      </c>
      <c r="I22" s="332" t="str">
        <f t="shared" si="2"/>
        <v/>
      </c>
      <c r="J22" s="332" t="str">
        <f t="shared" si="2"/>
        <v/>
      </c>
      <c r="K22" s="332" t="str">
        <f t="shared" si="2"/>
        <v/>
      </c>
      <c r="L22" s="332" t="str">
        <f t="shared" si="2"/>
        <v/>
      </c>
      <c r="M22" s="332" t="str">
        <f t="shared" si="2"/>
        <v/>
      </c>
      <c r="N22" s="333" t="str">
        <f t="shared" si="2"/>
        <v/>
      </c>
    </row>
    <row r="23" spans="1:17" ht="18" customHeight="1" x14ac:dyDescent="0.35">
      <c r="A23" s="272"/>
      <c r="B23" s="305" t="s">
        <v>185</v>
      </c>
      <c r="C23" s="19">
        <v>850</v>
      </c>
      <c r="D23" s="19"/>
      <c r="E23" s="19"/>
      <c r="F23" s="19"/>
      <c r="G23" s="19"/>
      <c r="H23" s="19"/>
      <c r="I23" s="19"/>
      <c r="J23" s="19"/>
      <c r="K23" s="19"/>
      <c r="L23" s="19"/>
      <c r="M23" s="19"/>
      <c r="N23" s="282"/>
    </row>
    <row r="24" spans="1:17" ht="18" customHeight="1" x14ac:dyDescent="0.35">
      <c r="A24" s="272"/>
      <c r="B24" s="305" t="s">
        <v>186</v>
      </c>
      <c r="C24" s="19">
        <v>600</v>
      </c>
      <c r="D24" s="19"/>
      <c r="E24" s="19"/>
      <c r="F24" s="19"/>
      <c r="G24" s="19"/>
      <c r="H24" s="19"/>
      <c r="I24" s="19"/>
      <c r="J24" s="19"/>
      <c r="K24" s="19"/>
      <c r="L24" s="19"/>
      <c r="M24" s="19"/>
      <c r="N24" s="282"/>
    </row>
    <row r="25" spans="1:17" ht="18" customHeight="1" x14ac:dyDescent="0.35">
      <c r="A25" s="272"/>
      <c r="B25" s="305"/>
      <c r="C25" s="17"/>
      <c r="D25" s="17"/>
      <c r="E25" s="17"/>
      <c r="F25" s="17"/>
      <c r="G25" s="17"/>
      <c r="H25" s="17"/>
      <c r="I25" s="17"/>
      <c r="J25" s="17"/>
      <c r="K25" s="17"/>
      <c r="L25" s="17"/>
      <c r="M25" s="17"/>
      <c r="N25" s="301"/>
    </row>
    <row r="26" spans="1:17" ht="18" customHeight="1" x14ac:dyDescent="0.35">
      <c r="A26" s="272"/>
      <c r="B26" s="306" t="s">
        <v>250</v>
      </c>
      <c r="C26" s="17"/>
      <c r="D26" s="17"/>
      <c r="E26" s="17"/>
      <c r="F26" s="17"/>
      <c r="G26" s="17"/>
      <c r="H26" s="17"/>
      <c r="I26" s="17"/>
      <c r="J26" s="17"/>
      <c r="K26" s="17"/>
      <c r="L26" s="17"/>
      <c r="M26" s="17"/>
      <c r="N26" s="301"/>
    </row>
    <row r="27" spans="1:17" ht="18" customHeight="1" x14ac:dyDescent="0.35">
      <c r="A27" s="272"/>
      <c r="B27" s="305" t="s">
        <v>261</v>
      </c>
      <c r="C27" s="19">
        <v>10000</v>
      </c>
      <c r="D27" s="8"/>
      <c r="E27" s="8"/>
      <c r="F27" s="8"/>
      <c r="G27" s="8"/>
      <c r="H27" s="8"/>
      <c r="I27" s="8"/>
      <c r="J27" s="8"/>
      <c r="K27" s="8"/>
      <c r="L27" s="8"/>
      <c r="M27" s="8"/>
      <c r="N27" s="275"/>
    </row>
    <row r="28" spans="1:17" ht="18" customHeight="1" x14ac:dyDescent="0.35">
      <c r="A28" s="272"/>
      <c r="B28" s="305" t="s">
        <v>187</v>
      </c>
      <c r="C28" s="8">
        <v>1</v>
      </c>
      <c r="D28" s="8"/>
      <c r="E28" s="8"/>
      <c r="F28" s="8"/>
      <c r="G28" s="8"/>
      <c r="H28" s="8"/>
      <c r="I28" s="8"/>
      <c r="J28" s="8"/>
      <c r="K28" s="8"/>
      <c r="L28" s="8"/>
      <c r="M28" s="8"/>
      <c r="N28" s="275"/>
    </row>
    <row r="29" spans="1:17" ht="18" customHeight="1" x14ac:dyDescent="0.35">
      <c r="A29" s="272"/>
      <c r="B29" s="305"/>
      <c r="C29" s="17"/>
      <c r="D29" s="17"/>
      <c r="E29" s="17"/>
      <c r="F29" s="17"/>
      <c r="G29" s="17"/>
      <c r="H29" s="17"/>
      <c r="I29" s="17"/>
      <c r="J29" s="17"/>
      <c r="K29" s="17"/>
      <c r="L29" s="17"/>
      <c r="M29" s="17"/>
      <c r="N29" s="301"/>
    </row>
    <row r="30" spans="1:17" ht="18" customHeight="1" x14ac:dyDescent="0.35">
      <c r="A30" s="272"/>
      <c r="B30" s="306" t="s">
        <v>251</v>
      </c>
      <c r="C30" s="17"/>
      <c r="D30" s="17"/>
      <c r="E30" s="17"/>
      <c r="F30" s="17"/>
      <c r="G30" s="17"/>
      <c r="H30" s="17"/>
      <c r="I30" s="17"/>
      <c r="J30" s="17"/>
      <c r="K30" s="17"/>
      <c r="L30" s="17"/>
      <c r="M30" s="17"/>
      <c r="N30" s="301"/>
    </row>
    <row r="31" spans="1:17" ht="18" customHeight="1" x14ac:dyDescent="0.35">
      <c r="A31" s="272"/>
      <c r="B31" s="305" t="s">
        <v>262</v>
      </c>
      <c r="C31" s="8">
        <v>500000</v>
      </c>
      <c r="D31" s="8"/>
      <c r="E31" s="8"/>
      <c r="F31" s="8"/>
      <c r="G31" s="8"/>
      <c r="H31" s="8"/>
      <c r="I31" s="8"/>
      <c r="J31" s="8"/>
      <c r="K31" s="8"/>
      <c r="L31" s="8"/>
      <c r="M31" s="8"/>
      <c r="N31" s="275"/>
    </row>
    <row r="32" spans="1:17" ht="18" customHeight="1" x14ac:dyDescent="0.35">
      <c r="A32" s="272"/>
      <c r="B32" s="305" t="s">
        <v>188</v>
      </c>
      <c r="C32" s="268">
        <v>0.03</v>
      </c>
      <c r="D32" s="268"/>
      <c r="E32" s="268"/>
      <c r="F32" s="268"/>
      <c r="G32" s="268"/>
      <c r="H32" s="268"/>
      <c r="I32" s="268"/>
      <c r="J32" s="268"/>
      <c r="K32" s="268"/>
      <c r="L32" s="268"/>
      <c r="M32" s="268"/>
      <c r="N32" s="283"/>
      <c r="Q32" s="284"/>
    </row>
    <row r="33" spans="1:14" ht="18" customHeight="1" x14ac:dyDescent="0.35">
      <c r="A33" s="272"/>
      <c r="B33" s="305" t="s">
        <v>189</v>
      </c>
      <c r="C33" s="8">
        <v>1</v>
      </c>
      <c r="D33" s="8"/>
      <c r="E33" s="8"/>
      <c r="F33" s="8"/>
      <c r="G33" s="8"/>
      <c r="H33" s="8"/>
      <c r="I33" s="8"/>
      <c r="J33" s="8"/>
      <c r="K33" s="8"/>
      <c r="L33" s="8"/>
      <c r="M33" s="8"/>
      <c r="N33" s="275"/>
    </row>
    <row r="34" spans="1:14" ht="18" customHeight="1" x14ac:dyDescent="0.35">
      <c r="A34" s="272"/>
      <c r="B34" s="305" t="s">
        <v>190</v>
      </c>
      <c r="C34" s="268">
        <v>0.1</v>
      </c>
      <c r="D34" s="268"/>
      <c r="E34" s="268"/>
      <c r="F34" s="268"/>
      <c r="G34" s="268"/>
      <c r="H34" s="268"/>
      <c r="I34" s="268"/>
      <c r="J34" s="268"/>
      <c r="K34" s="268"/>
      <c r="L34" s="268"/>
      <c r="M34" s="268"/>
      <c r="N34" s="283"/>
    </row>
    <row r="35" spans="1:14" ht="18" customHeight="1" x14ac:dyDescent="0.35">
      <c r="A35" s="272"/>
      <c r="B35" s="305"/>
      <c r="C35" s="277"/>
      <c r="D35" s="277"/>
      <c r="E35" s="277"/>
      <c r="F35" s="277"/>
      <c r="G35" s="277"/>
      <c r="H35" s="277"/>
      <c r="I35" s="277"/>
      <c r="J35" s="277"/>
      <c r="K35" s="277"/>
      <c r="L35" s="277"/>
      <c r="M35" s="277"/>
      <c r="N35" s="278"/>
    </row>
    <row r="36" spans="1:14" ht="18" customHeight="1" x14ac:dyDescent="0.35">
      <c r="A36" s="272"/>
      <c r="B36" s="306" t="s">
        <v>247</v>
      </c>
      <c r="C36" s="277"/>
      <c r="D36" s="277"/>
      <c r="E36" s="277"/>
      <c r="F36" s="277"/>
      <c r="G36" s="277"/>
      <c r="H36" s="277"/>
      <c r="I36" s="277"/>
      <c r="J36" s="277"/>
      <c r="K36" s="277"/>
      <c r="L36" s="277"/>
      <c r="M36" s="277"/>
      <c r="N36" s="278"/>
    </row>
    <row r="37" spans="1:14" ht="18" customHeight="1" thickBot="1" x14ac:dyDescent="0.4">
      <c r="A37" s="272"/>
      <c r="B37" s="307" t="s">
        <v>259</v>
      </c>
      <c r="C37" s="279">
        <f>C59*C22/1000</f>
        <v>151.46027397260275</v>
      </c>
      <c r="D37" s="279" t="e">
        <f t="shared" ref="D37:N37" si="3">D59*D22/1000</f>
        <v>#N/A</v>
      </c>
      <c r="E37" s="279" t="e">
        <f t="shared" si="3"/>
        <v>#N/A</v>
      </c>
      <c r="F37" s="279" t="e">
        <f t="shared" si="3"/>
        <v>#N/A</v>
      </c>
      <c r="G37" s="279" t="e">
        <f t="shared" si="3"/>
        <v>#N/A</v>
      </c>
      <c r="H37" s="279" t="e">
        <f t="shared" si="3"/>
        <v>#N/A</v>
      </c>
      <c r="I37" s="279" t="e">
        <f t="shared" si="3"/>
        <v>#N/A</v>
      </c>
      <c r="J37" s="279" t="e">
        <f t="shared" si="3"/>
        <v>#N/A</v>
      </c>
      <c r="K37" s="279" t="e">
        <f t="shared" si="3"/>
        <v>#N/A</v>
      </c>
      <c r="L37" s="279" t="e">
        <f t="shared" si="3"/>
        <v>#N/A</v>
      </c>
      <c r="M37" s="279" t="e">
        <f t="shared" si="3"/>
        <v>#N/A</v>
      </c>
      <c r="N37" s="280" t="e">
        <f t="shared" si="3"/>
        <v>#N/A</v>
      </c>
    </row>
    <row r="38" spans="1:14" ht="23.25" x14ac:dyDescent="0.35">
      <c r="A38" s="272"/>
    </row>
    <row r="39" spans="1:14" ht="24" thickBot="1" x14ac:dyDescent="0.4">
      <c r="A39" s="271" t="s">
        <v>407</v>
      </c>
    </row>
    <row r="40" spans="1:14" ht="23.25" x14ac:dyDescent="0.35">
      <c r="A40" s="272"/>
      <c r="B40" s="308"/>
      <c r="C40" s="266" t="str">
        <f>invulblad!K11</f>
        <v>Voorbeeld</v>
      </c>
      <c r="D40" s="266" t="str">
        <f>invulblad!L11</f>
        <v>water_2</v>
      </c>
      <c r="E40" s="266" t="str">
        <f>invulblad!M11</f>
        <v>water_3</v>
      </c>
      <c r="F40" s="266" t="str">
        <f>invulblad!N11</f>
        <v>water_4</v>
      </c>
      <c r="G40" s="266" t="str">
        <f>invulblad!O11</f>
        <v>water_5</v>
      </c>
      <c r="H40" s="266" t="str">
        <f>invulblad!P11</f>
        <v>water_6</v>
      </c>
      <c r="I40" s="266" t="str">
        <f>invulblad!Q11</f>
        <v>water_7</v>
      </c>
      <c r="J40" s="266" t="str">
        <f>invulblad!R11</f>
        <v>water_8</v>
      </c>
      <c r="K40" s="266" t="str">
        <f>invulblad!S11</f>
        <v>water_9</v>
      </c>
      <c r="L40" s="266" t="str">
        <f>invulblad!T11</f>
        <v>water_10</v>
      </c>
      <c r="M40" s="266" t="str">
        <f>invulblad!U11</f>
        <v>water_11</v>
      </c>
      <c r="N40" s="270" t="str">
        <f>invulblad!V11</f>
        <v>water_12</v>
      </c>
    </row>
    <row r="41" spans="1:14" ht="18" customHeight="1" x14ac:dyDescent="0.35">
      <c r="A41" s="272"/>
      <c r="B41" s="305" t="s">
        <v>220</v>
      </c>
      <c r="C41" s="332">
        <f>C7</f>
        <v>1600</v>
      </c>
      <c r="D41" s="332" t="str">
        <f t="shared" ref="D41:N41" si="4">D7</f>
        <v/>
      </c>
      <c r="E41" s="332" t="str">
        <f t="shared" si="4"/>
        <v/>
      </c>
      <c r="F41" s="332" t="str">
        <f t="shared" si="4"/>
        <v/>
      </c>
      <c r="G41" s="332" t="str">
        <f t="shared" si="4"/>
        <v/>
      </c>
      <c r="H41" s="332" t="str">
        <f t="shared" si="4"/>
        <v/>
      </c>
      <c r="I41" s="332" t="str">
        <f t="shared" si="4"/>
        <v/>
      </c>
      <c r="J41" s="332" t="str">
        <f t="shared" si="4"/>
        <v/>
      </c>
      <c r="K41" s="332" t="str">
        <f t="shared" si="4"/>
        <v/>
      </c>
      <c r="L41" s="332" t="str">
        <f t="shared" si="4"/>
        <v/>
      </c>
      <c r="M41" s="332" t="str">
        <f t="shared" si="4"/>
        <v/>
      </c>
      <c r="N41" s="333" t="str">
        <f t="shared" si="4"/>
        <v/>
      </c>
    </row>
    <row r="42" spans="1:14" ht="18" customHeight="1" x14ac:dyDescent="0.35">
      <c r="A42" s="272"/>
      <c r="B42" s="305" t="s">
        <v>260</v>
      </c>
      <c r="C42" s="3">
        <f>invulblad!K53*invulblad!K52</f>
        <v>4</v>
      </c>
      <c r="D42" s="3">
        <f>invulblad!L53*invulblad!L52</f>
        <v>0</v>
      </c>
      <c r="E42" s="3">
        <f>invulblad!M53*invulblad!M52</f>
        <v>0</v>
      </c>
      <c r="F42" s="3">
        <f>invulblad!N53*invulblad!N52</f>
        <v>0</v>
      </c>
      <c r="G42" s="3">
        <f>invulblad!O53*invulblad!O52</f>
        <v>0</v>
      </c>
      <c r="H42" s="3">
        <f>invulblad!P53*invulblad!P52</f>
        <v>0</v>
      </c>
      <c r="I42" s="3">
        <f>invulblad!Q53*invulblad!Q52</f>
        <v>0</v>
      </c>
      <c r="J42" s="3">
        <f>invulblad!R53*invulblad!R52</f>
        <v>0</v>
      </c>
      <c r="K42" s="3">
        <f>invulblad!S53*invulblad!S52</f>
        <v>0</v>
      </c>
      <c r="L42" s="3">
        <f>invulblad!T53*invulblad!T52</f>
        <v>0</v>
      </c>
      <c r="M42" s="3">
        <f>invulblad!U53*invulblad!U52</f>
        <v>0</v>
      </c>
      <c r="N42" s="281">
        <f>invulblad!V53*invulblad!V52</f>
        <v>0</v>
      </c>
    </row>
    <row r="43" spans="1:14" ht="18" customHeight="1" x14ac:dyDescent="0.35">
      <c r="A43" s="272"/>
      <c r="B43" s="305" t="s">
        <v>285</v>
      </c>
      <c r="C43" s="8">
        <v>4</v>
      </c>
      <c r="D43" s="8"/>
      <c r="E43" s="8"/>
      <c r="F43" s="8"/>
      <c r="G43" s="8"/>
      <c r="H43" s="8"/>
      <c r="I43" s="8"/>
      <c r="J43" s="8"/>
      <c r="K43" s="8"/>
      <c r="L43" s="8"/>
      <c r="M43" s="8"/>
      <c r="N43" s="275"/>
    </row>
    <row r="44" spans="1:14" ht="18" customHeight="1" x14ac:dyDescent="0.35">
      <c r="A44" s="272"/>
      <c r="B44" s="305"/>
      <c r="C44" s="277"/>
      <c r="D44" s="277"/>
      <c r="E44" s="277"/>
      <c r="F44" s="277"/>
      <c r="G44" s="277"/>
      <c r="H44" s="277"/>
      <c r="I44" s="277"/>
      <c r="J44" s="277"/>
      <c r="K44" s="277"/>
      <c r="L44" s="277"/>
      <c r="M44" s="277"/>
      <c r="N44" s="278"/>
    </row>
    <row r="45" spans="1:14" ht="18" customHeight="1" x14ac:dyDescent="0.35">
      <c r="A45" s="272"/>
      <c r="B45" s="306" t="s">
        <v>247</v>
      </c>
      <c r="C45" s="277"/>
      <c r="D45" s="277"/>
      <c r="E45" s="277"/>
      <c r="F45" s="277"/>
      <c r="G45" s="277"/>
      <c r="H45" s="277"/>
      <c r="I45" s="277"/>
      <c r="J45" s="277"/>
      <c r="K45" s="277"/>
      <c r="L45" s="277"/>
      <c r="M45" s="277"/>
      <c r="N45" s="278"/>
    </row>
    <row r="46" spans="1:14" ht="18" customHeight="1" thickBot="1" x14ac:dyDescent="0.4">
      <c r="A46" s="272"/>
      <c r="B46" s="307" t="s">
        <v>182</v>
      </c>
      <c r="C46" s="279">
        <f>IFERROR(IF(C43&lt;6,VLOOKUP(C43,'rekenhulp wateraanvoer in m3'!$C$72:$E$81,2,FALSE)/1000*C41,VLOOKUP(C43,'rekenhulp wateraanvoer in m3'!$C$72:$E$81,3,FALSE)/100*60*60*24*C42),"")</f>
        <v>120</v>
      </c>
      <c r="D46" s="279" t="str">
        <f>IFERROR(IF(D43&lt;6,VLOOKUP(D43,'rekenhulp wateraanvoer in m3'!$C$72:$E$81,2,FALSE)/1000*D41,VLOOKUP(D43,'rekenhulp wateraanvoer in m3'!$C$72:$E$81,3,FALSE)/100*60*60*24*D42),"")</f>
        <v/>
      </c>
      <c r="E46" s="279" t="str">
        <f>IFERROR(IF(E43&lt;6,VLOOKUP(E43,'rekenhulp wateraanvoer in m3'!$C$72:$E$81,2,FALSE)/1000*E41,VLOOKUP(E43,'rekenhulp wateraanvoer in m3'!$C$72:$E$81,3,FALSE)/100*60*60*24*E42),"")</f>
        <v/>
      </c>
      <c r="F46" s="279" t="str">
        <f>IFERROR(IF(F43&lt;6,VLOOKUP(F43,'rekenhulp wateraanvoer in m3'!$C$72:$E$81,2,FALSE)/1000*F41,VLOOKUP(F43,'rekenhulp wateraanvoer in m3'!$C$72:$E$81,3,FALSE)/100*60*60*24*F42),"")</f>
        <v/>
      </c>
      <c r="G46" s="279" t="str">
        <f>IFERROR(IF(G43&lt;6,VLOOKUP(G43,'rekenhulp wateraanvoer in m3'!$C$72:$E$81,2,FALSE)/1000*G41,VLOOKUP(G43,'rekenhulp wateraanvoer in m3'!$C$72:$E$81,3,FALSE)/100*60*60*24*G42),"")</f>
        <v/>
      </c>
      <c r="H46" s="279" t="str">
        <f>IFERROR(IF(H43&lt;6,VLOOKUP(H43,'rekenhulp wateraanvoer in m3'!$C$72:$E$81,2,FALSE)/1000*H41,VLOOKUP(H43,'rekenhulp wateraanvoer in m3'!$C$72:$E$81,3,FALSE)/100*60*60*24*H42),"")</f>
        <v/>
      </c>
      <c r="I46" s="279" t="str">
        <f>IFERROR(IF(I43&lt;6,VLOOKUP(I43,'rekenhulp wateraanvoer in m3'!$C$72:$E$81,2,FALSE)/1000*I41,VLOOKUP(I43,'rekenhulp wateraanvoer in m3'!$C$72:$E$81,3,FALSE)/100*60*60*24*I42),"")</f>
        <v/>
      </c>
      <c r="J46" s="279" t="str">
        <f>IFERROR(IF(J43&lt;6,VLOOKUP(J43,'rekenhulp wateraanvoer in m3'!$C$72:$E$81,2,FALSE)/1000*J41,VLOOKUP(J43,'rekenhulp wateraanvoer in m3'!$C$72:$E$81,3,FALSE)/100*60*60*24*J42),"")</f>
        <v/>
      </c>
      <c r="K46" s="279" t="str">
        <f>IFERROR(IF(K43&lt;6,VLOOKUP(K43,'rekenhulp wateraanvoer in m3'!$C$72:$E$81,2,FALSE)/1000*K41,VLOOKUP(K43,'rekenhulp wateraanvoer in m3'!$C$72:$E$81,3,FALSE)/100*60*60*24*K42),"")</f>
        <v/>
      </c>
      <c r="L46" s="279" t="str">
        <f>IFERROR(IF(L43&lt;6,VLOOKUP(L43,'rekenhulp wateraanvoer in m3'!$C$72:$E$81,2,FALSE)/1000*L41,VLOOKUP(L43,'rekenhulp wateraanvoer in m3'!$C$72:$E$81,3,FALSE)/100*60*60*24*L42),"")</f>
        <v/>
      </c>
      <c r="M46" s="279" t="str">
        <f>IFERROR(IF(M43&lt;6,VLOOKUP(M43,'rekenhulp wateraanvoer in m3'!$C$72:$E$81,2,FALSE)/1000*M41,VLOOKUP(M43,'rekenhulp wateraanvoer in m3'!$C$72:$E$81,3,FALSE)/100*60*60*24*M42),"")</f>
        <v/>
      </c>
      <c r="N46" s="280" t="str">
        <f>IFERROR(IF(N43&lt;6,VLOOKUP(N43,'rekenhulp wateraanvoer in m3'!$C$72:$E$81,2,FALSE)/1000*N41,VLOOKUP(N43,'rekenhulp wateraanvoer in m3'!$C$72:$E$81,3,FALSE)/100*60*60*24*N42),"")</f>
        <v/>
      </c>
    </row>
    <row r="47" spans="1:14" ht="23.25" x14ac:dyDescent="0.35">
      <c r="A47" s="272"/>
    </row>
    <row r="48" spans="1:14" ht="23.25" x14ac:dyDescent="0.35">
      <c r="A48" s="271" t="s">
        <v>242</v>
      </c>
    </row>
    <row r="49" spans="1:14" ht="19.5" thickBot="1" x14ac:dyDescent="0.35">
      <c r="A49" s="274"/>
      <c r="B49" s="309" t="s">
        <v>252</v>
      </c>
    </row>
    <row r="50" spans="1:14" ht="18.75" x14ac:dyDescent="0.3">
      <c r="A50" s="265"/>
      <c r="B50" s="310" t="s">
        <v>191</v>
      </c>
      <c r="C50" s="287">
        <v>1.03</v>
      </c>
    </row>
    <row r="51" spans="1:14" ht="19.5" thickBot="1" x14ac:dyDescent="0.35">
      <c r="A51" s="265"/>
      <c r="B51" s="311" t="s">
        <v>192</v>
      </c>
      <c r="C51" s="288">
        <v>0.96</v>
      </c>
    </row>
    <row r="52" spans="1:14" ht="18.75" x14ac:dyDescent="0.3">
      <c r="A52" s="265"/>
      <c r="B52" s="312"/>
      <c r="C52" s="6"/>
    </row>
    <row r="53" spans="1:14" ht="19.5" thickBot="1" x14ac:dyDescent="0.35">
      <c r="A53" s="265"/>
      <c r="B53" s="309" t="s">
        <v>253</v>
      </c>
    </row>
    <row r="54" spans="1:14" ht="18.75" x14ac:dyDescent="0.3">
      <c r="A54" s="265"/>
      <c r="B54" s="310" t="s">
        <v>254</v>
      </c>
      <c r="C54" s="289">
        <f t="shared" ref="C54:N54" si="5">C23/365</f>
        <v>2.3287671232876712</v>
      </c>
      <c r="D54" s="289">
        <f t="shared" si="5"/>
        <v>0</v>
      </c>
      <c r="E54" s="289">
        <f t="shared" si="5"/>
        <v>0</v>
      </c>
      <c r="F54" s="289">
        <f t="shared" si="5"/>
        <v>0</v>
      </c>
      <c r="G54" s="289">
        <f t="shared" si="5"/>
        <v>0</v>
      </c>
      <c r="H54" s="289">
        <f t="shared" si="5"/>
        <v>0</v>
      </c>
      <c r="I54" s="289">
        <f t="shared" si="5"/>
        <v>0</v>
      </c>
      <c r="J54" s="289">
        <f t="shared" si="5"/>
        <v>0</v>
      </c>
      <c r="K54" s="289">
        <f t="shared" si="5"/>
        <v>0</v>
      </c>
      <c r="L54" s="289">
        <f t="shared" si="5"/>
        <v>0</v>
      </c>
      <c r="M54" s="289">
        <f t="shared" si="5"/>
        <v>0</v>
      </c>
      <c r="N54" s="290">
        <f t="shared" si="5"/>
        <v>0</v>
      </c>
    </row>
    <row r="55" spans="1:14" ht="18.75" x14ac:dyDescent="0.3">
      <c r="A55" s="265"/>
      <c r="B55" s="313" t="s">
        <v>255</v>
      </c>
      <c r="C55" s="85">
        <f t="shared" ref="C55:N55" si="6">((((C23-(C24*$C$51))/1000)*C27*VLOOKUP(C$28,$C$62:$D$64,2,FALSE))/C7)*1000/365</f>
        <v>0.46917808219178081</v>
      </c>
      <c r="D55" s="85" t="e">
        <f t="shared" si="6"/>
        <v>#N/A</v>
      </c>
      <c r="E55" s="85" t="e">
        <f t="shared" si="6"/>
        <v>#N/A</v>
      </c>
      <c r="F55" s="85" t="e">
        <f t="shared" si="6"/>
        <v>#N/A</v>
      </c>
      <c r="G55" s="85" t="e">
        <f t="shared" si="6"/>
        <v>#N/A</v>
      </c>
      <c r="H55" s="85" t="e">
        <f t="shared" si="6"/>
        <v>#N/A</v>
      </c>
      <c r="I55" s="85" t="e">
        <f t="shared" si="6"/>
        <v>#N/A</v>
      </c>
      <c r="J55" s="85" t="e">
        <f t="shared" si="6"/>
        <v>#N/A</v>
      </c>
      <c r="K55" s="85" t="e">
        <f t="shared" si="6"/>
        <v>#N/A</v>
      </c>
      <c r="L55" s="85" t="e">
        <f t="shared" si="6"/>
        <v>#N/A</v>
      </c>
      <c r="M55" s="85" t="e">
        <f t="shared" si="6"/>
        <v>#N/A</v>
      </c>
      <c r="N55" s="292" t="e">
        <f t="shared" si="6"/>
        <v>#N/A</v>
      </c>
    </row>
    <row r="56" spans="1:14" ht="18.75" x14ac:dyDescent="0.3">
      <c r="A56" s="265"/>
      <c r="B56" s="313" t="s">
        <v>193</v>
      </c>
      <c r="C56" s="85">
        <f>(((((C23-(C24*$C$50))/1000)*(C31*C32))/C7)*1000)/365</f>
        <v>5.9589041095890414</v>
      </c>
      <c r="D56" s="85" t="e">
        <f t="shared" ref="D56:N56" si="7">(((((D23-(D24*$C$50))/1000)*(D31*D32))/D7)*1000)/365</f>
        <v>#VALUE!</v>
      </c>
      <c r="E56" s="85" t="e">
        <f t="shared" si="7"/>
        <v>#VALUE!</v>
      </c>
      <c r="F56" s="85" t="e">
        <f t="shared" si="7"/>
        <v>#VALUE!</v>
      </c>
      <c r="G56" s="85" t="e">
        <f t="shared" si="7"/>
        <v>#VALUE!</v>
      </c>
      <c r="H56" s="85" t="e">
        <f t="shared" si="7"/>
        <v>#VALUE!</v>
      </c>
      <c r="I56" s="85" t="e">
        <f t="shared" si="7"/>
        <v>#VALUE!</v>
      </c>
      <c r="J56" s="85" t="e">
        <f t="shared" si="7"/>
        <v>#VALUE!</v>
      </c>
      <c r="K56" s="85" t="e">
        <f t="shared" si="7"/>
        <v>#VALUE!</v>
      </c>
      <c r="L56" s="85" t="e">
        <f t="shared" si="7"/>
        <v>#VALUE!</v>
      </c>
      <c r="M56" s="85" t="e">
        <f t="shared" si="7"/>
        <v>#VALUE!</v>
      </c>
      <c r="N56" s="292" t="e">
        <f t="shared" si="7"/>
        <v>#VALUE!</v>
      </c>
    </row>
    <row r="57" spans="1:14" ht="18.75" x14ac:dyDescent="0.3">
      <c r="A57" s="265"/>
      <c r="B57" s="313" t="s">
        <v>194</v>
      </c>
      <c r="C57" s="85">
        <f t="shared" ref="C57:N57" si="8">(((((C23-(C24*$C$51))/1000)*(C31*(1-(C32+C34))))*VLOOKUP(C$28,$C$62:$D$64,2,FALSE))/C7)*1000/365</f>
        <v>20.409246575342468</v>
      </c>
      <c r="D57" s="85" t="e">
        <f t="shared" si="8"/>
        <v>#N/A</v>
      </c>
      <c r="E57" s="85" t="e">
        <f t="shared" si="8"/>
        <v>#N/A</v>
      </c>
      <c r="F57" s="85" t="e">
        <f t="shared" si="8"/>
        <v>#N/A</v>
      </c>
      <c r="G57" s="85" t="e">
        <f t="shared" si="8"/>
        <v>#N/A</v>
      </c>
      <c r="H57" s="85" t="e">
        <f t="shared" si="8"/>
        <v>#N/A</v>
      </c>
      <c r="I57" s="85" t="e">
        <f t="shared" si="8"/>
        <v>#N/A</v>
      </c>
      <c r="J57" s="85" t="e">
        <f t="shared" si="8"/>
        <v>#N/A</v>
      </c>
      <c r="K57" s="85" t="e">
        <f t="shared" si="8"/>
        <v>#N/A</v>
      </c>
      <c r="L57" s="85" t="e">
        <f t="shared" si="8"/>
        <v>#N/A</v>
      </c>
      <c r="M57" s="85" t="e">
        <f t="shared" si="8"/>
        <v>#N/A</v>
      </c>
      <c r="N57" s="292" t="e">
        <f t="shared" si="8"/>
        <v>#N/A</v>
      </c>
    </row>
    <row r="58" spans="1:14" ht="19.5" thickBot="1" x14ac:dyDescent="0.35">
      <c r="A58" s="265"/>
      <c r="B58" s="311" t="s">
        <v>195</v>
      </c>
      <c r="C58" s="285">
        <f t="shared" ref="C58:N58" si="9">(((((C23/1000)*(C31*C34)))*VLOOKUP(C$28,$C$67:$D$69,2,FALSE))/C7)*1000/365</f>
        <v>65.496575342465746</v>
      </c>
      <c r="D58" s="285" t="e">
        <f t="shared" si="9"/>
        <v>#N/A</v>
      </c>
      <c r="E58" s="285" t="e">
        <f t="shared" si="9"/>
        <v>#N/A</v>
      </c>
      <c r="F58" s="285" t="e">
        <f t="shared" si="9"/>
        <v>#N/A</v>
      </c>
      <c r="G58" s="285" t="e">
        <f t="shared" si="9"/>
        <v>#N/A</v>
      </c>
      <c r="H58" s="285" t="e">
        <f t="shared" si="9"/>
        <v>#N/A</v>
      </c>
      <c r="I58" s="285" t="e">
        <f t="shared" si="9"/>
        <v>#N/A</v>
      </c>
      <c r="J58" s="285" t="e">
        <f t="shared" si="9"/>
        <v>#N/A</v>
      </c>
      <c r="K58" s="285" t="e">
        <f t="shared" si="9"/>
        <v>#N/A</v>
      </c>
      <c r="L58" s="285" t="e">
        <f t="shared" si="9"/>
        <v>#N/A</v>
      </c>
      <c r="M58" s="285" t="e">
        <f t="shared" si="9"/>
        <v>#N/A</v>
      </c>
      <c r="N58" s="286" t="e">
        <f t="shared" si="9"/>
        <v>#N/A</v>
      </c>
    </row>
    <row r="59" spans="1:14" ht="19.5" thickBot="1" x14ac:dyDescent="0.35">
      <c r="A59" s="265"/>
      <c r="B59" s="314" t="s">
        <v>256</v>
      </c>
      <c r="C59" s="293">
        <f>SUM(C54:C58)</f>
        <v>94.662671232876704</v>
      </c>
      <c r="D59" s="293" t="e">
        <f t="shared" ref="D59:N59" si="10">SUM(D54:D58)</f>
        <v>#N/A</v>
      </c>
      <c r="E59" s="293" t="e">
        <f t="shared" si="10"/>
        <v>#N/A</v>
      </c>
      <c r="F59" s="293" t="e">
        <f t="shared" si="10"/>
        <v>#N/A</v>
      </c>
      <c r="G59" s="293" t="e">
        <f t="shared" si="10"/>
        <v>#N/A</v>
      </c>
      <c r="H59" s="293" t="e">
        <f t="shared" si="10"/>
        <v>#N/A</v>
      </c>
      <c r="I59" s="293" t="e">
        <f t="shared" si="10"/>
        <v>#N/A</v>
      </c>
      <c r="J59" s="293" t="e">
        <f t="shared" si="10"/>
        <v>#N/A</v>
      </c>
      <c r="K59" s="293" t="e">
        <f t="shared" si="10"/>
        <v>#N/A</v>
      </c>
      <c r="L59" s="293" t="e">
        <f t="shared" si="10"/>
        <v>#N/A</v>
      </c>
      <c r="M59" s="293" t="e">
        <f t="shared" si="10"/>
        <v>#N/A</v>
      </c>
      <c r="N59" s="294" t="e">
        <f t="shared" si="10"/>
        <v>#N/A</v>
      </c>
    </row>
    <row r="60" spans="1:14" ht="18.75" x14ac:dyDescent="0.3">
      <c r="A60" s="265"/>
      <c r="B60" s="315"/>
      <c r="C60" s="295"/>
      <c r="D60" s="295"/>
      <c r="E60" s="295"/>
      <c r="F60" s="295"/>
      <c r="G60" s="295"/>
      <c r="H60" s="295"/>
      <c r="I60" s="295"/>
      <c r="J60" s="295"/>
      <c r="K60" s="295"/>
      <c r="L60" s="295"/>
      <c r="M60" s="295"/>
      <c r="N60" s="295"/>
    </row>
    <row r="61" spans="1:14" ht="19.5" thickBot="1" x14ac:dyDescent="0.35">
      <c r="A61" s="265"/>
      <c r="B61" s="309" t="s">
        <v>204</v>
      </c>
      <c r="C61" s="63" t="s">
        <v>199</v>
      </c>
      <c r="D61" s="63" t="s">
        <v>200</v>
      </c>
    </row>
    <row r="62" spans="1:14" ht="18.75" x14ac:dyDescent="0.3">
      <c r="A62" s="265"/>
      <c r="B62" s="316" t="s">
        <v>196</v>
      </c>
      <c r="C62" s="296">
        <v>1</v>
      </c>
      <c r="D62" s="287">
        <v>0.1</v>
      </c>
    </row>
    <row r="63" spans="1:14" ht="18.75" x14ac:dyDescent="0.3">
      <c r="A63" s="265"/>
      <c r="B63" s="317" t="s">
        <v>198</v>
      </c>
      <c r="C63" s="3">
        <v>2</v>
      </c>
      <c r="D63" s="281">
        <v>0.3</v>
      </c>
    </row>
    <row r="64" spans="1:14" ht="19.5" thickBot="1" x14ac:dyDescent="0.35">
      <c r="A64" s="265"/>
      <c r="B64" s="318" t="s">
        <v>197</v>
      </c>
      <c r="C64" s="267">
        <v>3</v>
      </c>
      <c r="D64" s="288">
        <v>0.6</v>
      </c>
    </row>
    <row r="65" spans="1:15" ht="18.75" x14ac:dyDescent="0.3">
      <c r="A65" s="265"/>
    </row>
    <row r="66" spans="1:15" ht="19.5" thickBot="1" x14ac:dyDescent="0.35">
      <c r="A66" s="265"/>
      <c r="B66" s="309" t="s">
        <v>205</v>
      </c>
      <c r="C66" s="63" t="s">
        <v>199</v>
      </c>
      <c r="D66" s="63" t="s">
        <v>200</v>
      </c>
    </row>
    <row r="67" spans="1:15" ht="18.75" x14ac:dyDescent="0.3">
      <c r="A67" s="265"/>
      <c r="B67" s="316" t="s">
        <v>201</v>
      </c>
      <c r="C67" s="296">
        <v>1</v>
      </c>
      <c r="D67" s="287">
        <v>0.9</v>
      </c>
    </row>
    <row r="68" spans="1:15" ht="18.75" x14ac:dyDescent="0.3">
      <c r="A68" s="265"/>
      <c r="B68" s="317" t="s">
        <v>202</v>
      </c>
      <c r="C68" s="3">
        <v>2</v>
      </c>
      <c r="D68" s="281">
        <v>0.3</v>
      </c>
      <c r="J68" s="6"/>
      <c r="K68" s="6"/>
      <c r="L68" s="6"/>
      <c r="M68" s="6"/>
      <c r="N68" s="6"/>
      <c r="O68" s="15"/>
    </row>
    <row r="69" spans="1:15" ht="19.5" thickBot="1" x14ac:dyDescent="0.35">
      <c r="A69" s="265"/>
      <c r="B69" s="318" t="s">
        <v>203</v>
      </c>
      <c r="C69" s="267">
        <v>3</v>
      </c>
      <c r="D69" s="288">
        <v>0.05</v>
      </c>
      <c r="J69" s="6"/>
      <c r="K69" s="6"/>
      <c r="L69" s="6"/>
      <c r="M69" s="6"/>
      <c r="N69" s="6"/>
      <c r="O69" s="15"/>
    </row>
    <row r="70" spans="1:15" ht="18.75" x14ac:dyDescent="0.3">
      <c r="A70" s="265"/>
      <c r="J70" s="6"/>
      <c r="K70" s="6"/>
      <c r="L70" s="6"/>
      <c r="M70" s="6"/>
      <c r="N70" s="6"/>
      <c r="O70" s="15"/>
    </row>
    <row r="71" spans="1:15" s="302" customFormat="1" ht="16.5" thickBot="1" x14ac:dyDescent="0.3">
      <c r="B71" s="319" t="s">
        <v>221</v>
      </c>
      <c r="C71" s="320" t="s">
        <v>199</v>
      </c>
      <c r="D71" s="320" t="s">
        <v>183</v>
      </c>
      <c r="E71" s="320" t="s">
        <v>222</v>
      </c>
      <c r="F71" s="321"/>
      <c r="G71" s="321"/>
      <c r="H71" s="321"/>
      <c r="I71" s="321"/>
      <c r="J71" s="351"/>
      <c r="K71" s="351"/>
      <c r="L71" s="351"/>
      <c r="M71" s="351"/>
      <c r="N71" s="351"/>
      <c r="O71" s="312"/>
    </row>
    <row r="72" spans="1:15" s="302" customFormat="1" x14ac:dyDescent="0.25">
      <c r="A72" s="745" t="s">
        <v>237</v>
      </c>
      <c r="B72" s="316" t="s">
        <v>223</v>
      </c>
      <c r="C72" s="324">
        <v>1</v>
      </c>
      <c r="D72" s="324">
        <v>2.2999999999999998</v>
      </c>
      <c r="E72" s="325"/>
      <c r="F72" s="321"/>
      <c r="G72" s="321"/>
      <c r="H72" s="321"/>
      <c r="I72" s="321"/>
      <c r="J72" s="351"/>
      <c r="K72" s="351"/>
      <c r="L72" s="351"/>
      <c r="M72" s="351"/>
      <c r="N72" s="351"/>
      <c r="O72" s="312"/>
    </row>
    <row r="73" spans="1:15" s="302" customFormat="1" x14ac:dyDescent="0.25">
      <c r="A73" s="746"/>
      <c r="B73" s="317" t="s">
        <v>239</v>
      </c>
      <c r="C73" s="322">
        <v>2</v>
      </c>
      <c r="D73" s="323">
        <v>6</v>
      </c>
      <c r="E73" s="326"/>
      <c r="F73" s="321"/>
      <c r="G73" s="321"/>
      <c r="H73" s="321"/>
      <c r="I73" s="321"/>
      <c r="J73" s="351"/>
      <c r="K73" s="351"/>
      <c r="L73" s="351"/>
      <c r="M73" s="351"/>
      <c r="N73" s="351"/>
      <c r="O73" s="312"/>
    </row>
    <row r="74" spans="1:15" s="302" customFormat="1" x14ac:dyDescent="0.25">
      <c r="A74" s="746"/>
      <c r="B74" s="317" t="s">
        <v>240</v>
      </c>
      <c r="C74" s="322">
        <v>3</v>
      </c>
      <c r="D74" s="323">
        <v>20</v>
      </c>
      <c r="E74" s="326"/>
      <c r="F74" s="321"/>
      <c r="G74" s="321"/>
      <c r="H74" s="321"/>
      <c r="I74" s="321"/>
      <c r="J74" s="351"/>
      <c r="K74" s="351"/>
      <c r="L74" s="351"/>
      <c r="M74" s="351"/>
      <c r="N74" s="351"/>
      <c r="O74" s="312"/>
    </row>
    <row r="75" spans="1:15" s="302" customFormat="1" x14ac:dyDescent="0.25">
      <c r="A75" s="746"/>
      <c r="B75" s="317" t="s">
        <v>241</v>
      </c>
      <c r="C75" s="322">
        <v>4</v>
      </c>
      <c r="D75" s="323">
        <v>75</v>
      </c>
      <c r="E75" s="326"/>
      <c r="F75" s="321"/>
      <c r="G75" s="321"/>
      <c r="H75" s="321"/>
      <c r="I75" s="321"/>
      <c r="J75" s="351"/>
      <c r="K75" s="351"/>
      <c r="L75" s="351"/>
      <c r="M75" s="351"/>
      <c r="N75" s="351"/>
      <c r="O75" s="312"/>
    </row>
    <row r="76" spans="1:15" s="302" customFormat="1" ht="16.5" thickBot="1" x14ac:dyDescent="0.3">
      <c r="A76" s="747"/>
      <c r="B76" s="318" t="s">
        <v>224</v>
      </c>
      <c r="C76" s="327">
        <v>5</v>
      </c>
      <c r="D76" s="327">
        <v>150</v>
      </c>
      <c r="E76" s="328"/>
      <c r="F76" s="321"/>
      <c r="G76" s="321"/>
      <c r="H76" s="321"/>
      <c r="I76" s="321"/>
      <c r="J76" s="351"/>
      <c r="K76" s="351"/>
      <c r="L76" s="351"/>
      <c r="M76" s="351"/>
      <c r="N76" s="351"/>
      <c r="O76" s="312"/>
    </row>
    <row r="77" spans="1:15" s="302" customFormat="1" x14ac:dyDescent="0.25">
      <c r="A77" s="745" t="s">
        <v>238</v>
      </c>
      <c r="B77" s="329" t="s">
        <v>225</v>
      </c>
      <c r="C77" s="330">
        <v>6</v>
      </c>
      <c r="D77" s="330"/>
      <c r="E77" s="331">
        <v>1</v>
      </c>
      <c r="F77" s="321"/>
      <c r="G77" s="321"/>
      <c r="H77" s="321"/>
      <c r="I77" s="321"/>
      <c r="J77" s="351"/>
      <c r="K77" s="351"/>
      <c r="L77" s="351"/>
      <c r="M77" s="351"/>
      <c r="N77" s="351"/>
      <c r="O77" s="312"/>
    </row>
    <row r="78" spans="1:15" s="302" customFormat="1" x14ac:dyDescent="0.25">
      <c r="A78" s="746"/>
      <c r="B78" s="317" t="s">
        <v>226</v>
      </c>
      <c r="C78" s="322">
        <v>7</v>
      </c>
      <c r="D78" s="322"/>
      <c r="E78" s="326">
        <v>5</v>
      </c>
      <c r="F78" s="321"/>
      <c r="G78" s="321"/>
      <c r="H78" s="321"/>
      <c r="I78" s="321"/>
      <c r="J78" s="351"/>
      <c r="K78" s="351"/>
      <c r="L78" s="351"/>
      <c r="M78" s="351"/>
      <c r="N78" s="351"/>
      <c r="O78" s="312"/>
    </row>
    <row r="79" spans="1:15" s="302" customFormat="1" x14ac:dyDescent="0.25">
      <c r="A79" s="746"/>
      <c r="B79" s="317" t="s">
        <v>227</v>
      </c>
      <c r="C79" s="322">
        <v>8</v>
      </c>
      <c r="D79" s="322"/>
      <c r="E79" s="326">
        <v>10</v>
      </c>
      <c r="F79" s="321"/>
      <c r="G79" s="321"/>
      <c r="H79" s="321"/>
      <c r="I79" s="321"/>
      <c r="J79" s="351"/>
      <c r="K79" s="351"/>
      <c r="L79" s="351"/>
      <c r="M79" s="351"/>
      <c r="N79" s="351"/>
      <c r="O79" s="312"/>
    </row>
    <row r="80" spans="1:15" s="302" customFormat="1" x14ac:dyDescent="0.25">
      <c r="A80" s="746"/>
      <c r="B80" s="317" t="s">
        <v>228</v>
      </c>
      <c r="C80" s="322">
        <v>9</v>
      </c>
      <c r="D80" s="322"/>
      <c r="E80" s="326">
        <v>30</v>
      </c>
      <c r="F80" s="321"/>
      <c r="G80" s="321"/>
      <c r="H80" s="321"/>
      <c r="I80" s="321"/>
      <c r="J80" s="351"/>
      <c r="K80" s="351"/>
      <c r="L80" s="351"/>
      <c r="M80" s="351"/>
      <c r="N80" s="351"/>
      <c r="O80" s="312"/>
    </row>
    <row r="81" spans="1:18" s="302" customFormat="1" ht="16.5" thickBot="1" x14ac:dyDescent="0.3">
      <c r="A81" s="747"/>
      <c r="B81" s="318" t="s">
        <v>229</v>
      </c>
      <c r="C81" s="327">
        <v>10</v>
      </c>
      <c r="D81" s="327"/>
      <c r="E81" s="328">
        <v>60</v>
      </c>
      <c r="F81" s="321"/>
      <c r="G81" s="321"/>
      <c r="H81" s="321"/>
      <c r="I81" s="321"/>
      <c r="J81" s="351"/>
      <c r="K81" s="351"/>
      <c r="L81" s="351"/>
      <c r="M81" s="351"/>
      <c r="N81" s="351"/>
      <c r="O81" s="312"/>
    </row>
    <row r="82" spans="1:18" ht="18.75" x14ac:dyDescent="0.3">
      <c r="A82" s="265"/>
      <c r="J82" s="6"/>
      <c r="K82" s="6"/>
      <c r="L82" s="6"/>
      <c r="M82" s="6"/>
      <c r="N82" s="6"/>
      <c r="O82" s="15"/>
    </row>
    <row r="83" spans="1:18" ht="18.75" x14ac:dyDescent="0.3">
      <c r="A83" s="265"/>
      <c r="J83" s="6"/>
      <c r="K83" s="6"/>
      <c r="L83" s="6"/>
      <c r="M83" s="6"/>
      <c r="N83" s="6"/>
      <c r="O83" s="15"/>
    </row>
    <row r="84" spans="1:18" ht="18.75" x14ac:dyDescent="0.3">
      <c r="A84" s="265"/>
    </row>
    <row r="85" spans="1:18" ht="18.75" x14ac:dyDescent="0.3">
      <c r="A85" s="265"/>
    </row>
    <row r="86" spans="1:18" ht="18.75" x14ac:dyDescent="0.3">
      <c r="A86" s="265"/>
    </row>
    <row r="87" spans="1:18" ht="18.75" x14ac:dyDescent="0.3">
      <c r="A87" s="265"/>
    </row>
    <row r="88" spans="1:18" ht="18.75" x14ac:dyDescent="0.3">
      <c r="A88" s="265"/>
    </row>
    <row r="89" spans="1:18" ht="18.75" x14ac:dyDescent="0.3">
      <c r="A89" s="265"/>
    </row>
    <row r="90" spans="1:18" ht="18.75" x14ac:dyDescent="0.3">
      <c r="A90" s="352"/>
      <c r="B90" s="312"/>
      <c r="C90" s="6"/>
      <c r="D90" s="6"/>
      <c r="E90" s="6"/>
      <c r="F90" s="6"/>
      <c r="G90" s="6"/>
      <c r="H90" s="6"/>
      <c r="I90" s="6"/>
      <c r="J90" s="6"/>
      <c r="K90" s="6"/>
      <c r="L90" s="6"/>
      <c r="M90" s="6"/>
      <c r="N90" s="6"/>
      <c r="O90" s="15"/>
      <c r="P90" s="15"/>
      <c r="Q90" s="15"/>
      <c r="R90" s="15"/>
    </row>
    <row r="91" spans="1:18" ht="18.75" x14ac:dyDescent="0.3">
      <c r="A91" s="352"/>
      <c r="B91" s="312"/>
      <c r="C91" s="6"/>
      <c r="D91" s="6"/>
      <c r="E91" s="6"/>
      <c r="F91" s="6"/>
      <c r="G91" s="6"/>
      <c r="H91" s="6"/>
      <c r="I91" s="6"/>
      <c r="J91" s="6"/>
      <c r="K91" s="6"/>
      <c r="L91" s="6"/>
      <c r="M91" s="6"/>
      <c r="N91" s="6"/>
      <c r="O91" s="15"/>
      <c r="P91" s="15"/>
      <c r="Q91" s="15"/>
      <c r="R91" s="15"/>
    </row>
    <row r="92" spans="1:18" ht="18.75" x14ac:dyDescent="0.3">
      <c r="A92" s="352"/>
      <c r="B92" s="312"/>
      <c r="C92" s="6"/>
      <c r="D92" s="6"/>
      <c r="E92" s="6"/>
      <c r="F92" s="6"/>
      <c r="G92" s="6"/>
      <c r="H92" s="6"/>
      <c r="I92" s="6"/>
      <c r="J92" s="6"/>
      <c r="K92" s="6"/>
      <c r="L92" s="6"/>
      <c r="M92" s="6"/>
      <c r="N92" s="6"/>
      <c r="O92" s="15"/>
      <c r="P92" s="15"/>
      <c r="Q92" s="15"/>
      <c r="R92" s="15"/>
    </row>
    <row r="93" spans="1:18" x14ac:dyDescent="0.25">
      <c r="A93" s="15"/>
      <c r="B93" s="312"/>
      <c r="C93" s="6"/>
      <c r="D93" s="6"/>
      <c r="E93" s="6"/>
      <c r="F93" s="6"/>
      <c r="G93" s="6"/>
      <c r="H93" s="6"/>
      <c r="I93" s="6"/>
      <c r="J93" s="6"/>
      <c r="K93" s="6"/>
      <c r="L93" s="6"/>
      <c r="M93" s="6"/>
      <c r="N93" s="6"/>
      <c r="O93" s="15"/>
      <c r="P93" s="15"/>
      <c r="Q93" s="15"/>
      <c r="R93" s="15"/>
    </row>
    <row r="94" spans="1:18" x14ac:dyDescent="0.25">
      <c r="A94" s="15"/>
      <c r="B94" s="312"/>
      <c r="C94" s="6"/>
      <c r="D94" s="6"/>
      <c r="E94" s="6"/>
      <c r="F94" s="6"/>
      <c r="G94" s="6"/>
      <c r="H94" s="6"/>
      <c r="I94" s="6"/>
      <c r="J94" s="6"/>
      <c r="K94" s="6"/>
      <c r="L94" s="6"/>
      <c r="M94" s="6"/>
      <c r="N94" s="6"/>
      <c r="O94" s="15"/>
      <c r="P94" s="15"/>
      <c r="Q94" s="15"/>
      <c r="R94" s="15"/>
    </row>
    <row r="95" spans="1:18" x14ac:dyDescent="0.25">
      <c r="A95" s="15"/>
      <c r="B95" s="312"/>
      <c r="C95" s="6"/>
      <c r="D95" s="6"/>
      <c r="E95" s="6"/>
      <c r="F95" s="6"/>
      <c r="G95" s="6"/>
      <c r="H95" s="6"/>
      <c r="I95" s="6"/>
      <c r="J95" s="6"/>
      <c r="K95" s="6"/>
      <c r="L95" s="6"/>
      <c r="M95" s="6"/>
      <c r="N95" s="6"/>
      <c r="O95" s="15"/>
      <c r="P95" s="15"/>
      <c r="Q95" s="15"/>
      <c r="R95" s="15"/>
    </row>
    <row r="96" spans="1:18" x14ac:dyDescent="0.25">
      <c r="A96" s="15"/>
      <c r="B96" s="312"/>
      <c r="C96" s="6"/>
      <c r="D96" s="6"/>
      <c r="E96" s="6"/>
      <c r="F96" s="6"/>
      <c r="G96" s="6"/>
      <c r="H96" s="6"/>
      <c r="I96" s="6"/>
      <c r="J96" s="6"/>
      <c r="K96" s="6"/>
      <c r="L96" s="6"/>
      <c r="M96" s="6"/>
      <c r="N96" s="6"/>
      <c r="O96" s="15"/>
      <c r="P96" s="15"/>
      <c r="Q96" s="15"/>
      <c r="R96" s="15"/>
    </row>
    <row r="97" spans="1:18" x14ac:dyDescent="0.25">
      <c r="A97" s="15"/>
      <c r="B97" s="312"/>
      <c r="C97" s="6"/>
      <c r="D97" s="6"/>
      <c r="E97" s="6"/>
      <c r="F97" s="6"/>
      <c r="G97" s="6"/>
      <c r="H97" s="6"/>
      <c r="I97" s="6"/>
      <c r="J97" s="6"/>
      <c r="K97" s="6"/>
      <c r="L97" s="6"/>
      <c r="M97" s="6"/>
      <c r="N97" s="6"/>
      <c r="O97" s="15"/>
      <c r="P97" s="15"/>
      <c r="Q97" s="15"/>
      <c r="R97" s="15"/>
    </row>
    <row r="98" spans="1:18" x14ac:dyDescent="0.25">
      <c r="A98" s="15"/>
      <c r="B98" s="312"/>
      <c r="C98" s="6"/>
      <c r="D98" s="6"/>
      <c r="E98" s="6"/>
      <c r="F98" s="6"/>
      <c r="G98" s="6"/>
      <c r="H98" s="6"/>
      <c r="I98" s="6"/>
      <c r="J98" s="6"/>
      <c r="K98" s="6"/>
      <c r="L98" s="6"/>
      <c r="M98" s="6"/>
      <c r="N98" s="6"/>
      <c r="O98" s="15"/>
      <c r="P98" s="15"/>
      <c r="Q98" s="15"/>
      <c r="R98" s="15"/>
    </row>
    <row r="99" spans="1:18" x14ac:dyDescent="0.25">
      <c r="A99" s="15"/>
      <c r="B99" s="312"/>
      <c r="C99" s="6"/>
      <c r="D99" s="6"/>
      <c r="E99" s="6"/>
      <c r="F99" s="6"/>
      <c r="G99" s="6"/>
      <c r="H99" s="6"/>
      <c r="I99" s="6"/>
      <c r="J99" s="6"/>
      <c r="K99" s="6"/>
      <c r="L99" s="6"/>
      <c r="M99" s="6"/>
      <c r="N99" s="6"/>
      <c r="O99" s="15"/>
      <c r="P99" s="15"/>
      <c r="Q99" s="15"/>
      <c r="R99" s="15"/>
    </row>
    <row r="100" spans="1:18" x14ac:dyDescent="0.25">
      <c r="A100" s="15"/>
      <c r="B100" s="312"/>
      <c r="C100" s="6"/>
      <c r="D100" s="6"/>
      <c r="E100" s="6"/>
      <c r="F100" s="6"/>
      <c r="G100" s="6"/>
      <c r="H100" s="6"/>
      <c r="I100" s="6"/>
      <c r="J100" s="6"/>
      <c r="K100" s="6"/>
      <c r="L100" s="6"/>
      <c r="M100" s="6"/>
      <c r="N100" s="6"/>
      <c r="O100" s="15"/>
      <c r="P100" s="15"/>
      <c r="Q100" s="15"/>
      <c r="R100" s="15"/>
    </row>
  </sheetData>
  <sheetProtection sheet="1" objects="1" scenarios="1"/>
  <protectedRanges>
    <protectedRange sqref="C6:N6 C14:N14 C23:N24 C27:N28 C31:N34 C43:N43" name="Bereik1"/>
  </protectedRanges>
  <mergeCells count="2">
    <mergeCell ref="A72:A76"/>
    <mergeCell ref="A77:A81"/>
  </mergeCells>
  <conditionalFormatting sqref="C6:N6">
    <cfRule type="expression" dxfId="33" priority="3">
      <formula>C$94&gt;0</formula>
    </cfRule>
  </conditionalFormatting>
  <conditionalFormatting sqref="C14:N14">
    <cfRule type="expression" dxfId="32" priority="2">
      <formula>C$94&gt;0</formula>
    </cfRule>
  </conditionalFormatting>
  <conditionalFormatting sqref="C23:N24 C43:N43 C27:N34">
    <cfRule type="expression" dxfId="31" priority="4">
      <formula>#REF!&gt;0</formula>
    </cfRule>
  </conditionalFormatting>
  <conditionalFormatting sqref="C25:N26">
    <cfRule type="expression" dxfId="30" priority="1">
      <formula>#REF!&gt;0</formula>
    </cfRule>
  </conditionalFormatting>
  <dataValidations count="2">
    <dataValidation type="decimal" allowBlank="1" showInputMessage="1" showErrorMessage="1" errorTitle="buiten bereik" error="vul hier de gemiddelde stroomsnelheid in cm/s in, waarden moeten liggen tussen 1 en 100 cm/s" sqref="C14:N14">
      <formula1>1</formula1>
      <formula2>100</formula2>
    </dataValidation>
    <dataValidation type="decimal" allowBlank="1" showInputMessage="1" showErrorMessage="1" errorTitle="buiten bereik" error="Voer hier de gemiddelde wateraanvoer in mm/dag in, waarden moeten liggen tussen 1 en 1000 mm/dag" sqref="C6:N6">
      <formula1>1</formula1>
      <formula2>1000</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tabColor theme="4" tint="0.79998168889431442"/>
  </sheetPr>
  <dimension ref="A108:AB195"/>
  <sheetViews>
    <sheetView zoomScale="85" zoomScaleNormal="85" workbookViewId="0"/>
  </sheetViews>
  <sheetFormatPr defaultColWidth="9.140625" defaultRowHeight="12" x14ac:dyDescent="0.2"/>
  <cols>
    <col min="1" max="1" width="3.85546875" style="97" customWidth="1"/>
    <col min="2" max="2" width="30.7109375" style="97" bestFit="1" customWidth="1"/>
    <col min="3" max="3" width="14.42578125" style="98" bestFit="1" customWidth="1"/>
    <col min="4" max="5" width="9.28515625" style="98" bestFit="1" customWidth="1"/>
    <col min="6" max="6" width="9.5703125" style="98" bestFit="1" customWidth="1"/>
    <col min="7" max="7" width="9.28515625" style="98" bestFit="1" customWidth="1"/>
    <col min="8" max="8" width="10" style="98" bestFit="1" customWidth="1"/>
    <col min="9" max="10" width="9.28515625" style="98" bestFit="1" customWidth="1"/>
    <col min="11" max="11" width="9.7109375" style="98" bestFit="1" customWidth="1"/>
    <col min="12" max="12" width="10.7109375" style="98" bestFit="1" customWidth="1"/>
    <col min="13" max="13" width="11.5703125" style="98" bestFit="1" customWidth="1"/>
    <col min="14" max="14" width="11" style="98" bestFit="1" customWidth="1"/>
    <col min="15" max="15" width="9.140625" style="97"/>
    <col min="16" max="16" width="29.140625" style="97" customWidth="1"/>
    <col min="17" max="28" width="9.140625" style="98"/>
    <col min="29" max="16384" width="9.140625" style="97"/>
  </cols>
  <sheetData>
    <row r="108" spans="1:28" s="96" customFormat="1" ht="27" x14ac:dyDescent="0.25">
      <c r="A108" s="90"/>
      <c r="B108" s="91" t="s">
        <v>174</v>
      </c>
      <c r="C108" s="91" t="str">
        <f t="shared" ref="C108:N108" si="0">C130</f>
        <v>Voorbeeld</v>
      </c>
      <c r="D108" s="91" t="str">
        <f t="shared" si="0"/>
        <v>water_2</v>
      </c>
      <c r="E108" s="91" t="str">
        <f t="shared" si="0"/>
        <v>water_3</v>
      </c>
      <c r="F108" s="91" t="str">
        <f t="shared" si="0"/>
        <v>water_4</v>
      </c>
      <c r="G108" s="91" t="str">
        <f t="shared" si="0"/>
        <v>water_5</v>
      </c>
      <c r="H108" s="91" t="str">
        <f t="shared" si="0"/>
        <v>water_6</v>
      </c>
      <c r="I108" s="91" t="str">
        <f t="shared" si="0"/>
        <v>water_7</v>
      </c>
      <c r="J108" s="91" t="str">
        <f t="shared" si="0"/>
        <v>water_8</v>
      </c>
      <c r="K108" s="91" t="str">
        <f t="shared" si="0"/>
        <v>water_9</v>
      </c>
      <c r="L108" s="91" t="str">
        <f t="shared" si="0"/>
        <v>water_10</v>
      </c>
      <c r="M108" s="91" t="str">
        <f t="shared" si="0"/>
        <v>water_11</v>
      </c>
      <c r="N108" s="91" t="str">
        <f t="shared" si="0"/>
        <v>water_12</v>
      </c>
      <c r="P108" s="91" t="s">
        <v>175</v>
      </c>
      <c r="Q108" s="92" t="str">
        <f>C108</f>
        <v>Voorbeeld</v>
      </c>
      <c r="R108" s="92" t="str">
        <f t="shared" ref="R108" si="1">D108</f>
        <v>water_2</v>
      </c>
      <c r="S108" s="92" t="str">
        <f t="shared" ref="S108" si="2">E108</f>
        <v>water_3</v>
      </c>
      <c r="T108" s="92" t="str">
        <f t="shared" ref="T108" si="3">F108</f>
        <v>water_4</v>
      </c>
      <c r="U108" s="92" t="str">
        <f t="shared" ref="U108" si="4">G108</f>
        <v>water_5</v>
      </c>
      <c r="V108" s="92" t="str">
        <f t="shared" ref="V108" si="5">H108</f>
        <v>water_6</v>
      </c>
      <c r="W108" s="92" t="str">
        <f t="shared" ref="W108" si="6">I108</f>
        <v>water_7</v>
      </c>
      <c r="X108" s="92" t="str">
        <f t="shared" ref="X108" si="7">J108</f>
        <v>water_8</v>
      </c>
      <c r="Y108" s="92" t="str">
        <f t="shared" ref="Y108" si="8">K108</f>
        <v>water_9</v>
      </c>
      <c r="Z108" s="92" t="str">
        <f t="shared" ref="Z108" si="9">L108</f>
        <v>water_10</v>
      </c>
      <c r="AA108" s="92" t="str">
        <f t="shared" ref="AA108" si="10">M108</f>
        <v>water_11</v>
      </c>
      <c r="AB108" s="92" t="str">
        <f t="shared" ref="AB108" si="11">N108</f>
        <v>water_12</v>
      </c>
    </row>
    <row r="109" spans="1:28" x14ac:dyDescent="0.2">
      <c r="A109" s="93">
        <v>1</v>
      </c>
      <c r="B109" s="91" t="str">
        <f t="shared" ref="B109:B128" si="12">B131</f>
        <v>overstort gemengd stelsel</v>
      </c>
      <c r="C109" s="94">
        <f>IFERROR(C131,0)+IFERROR(C153,0)+IFERROR(C175,0)</f>
        <v>1543.682191780822</v>
      </c>
      <c r="D109" s="94">
        <f t="shared" ref="D109:N109" si="13">IFERROR(D131,0)+IFERROR(D153,0)+IFERROR(D175,0)</f>
        <v>0</v>
      </c>
      <c r="E109" s="94">
        <f t="shared" si="13"/>
        <v>0</v>
      </c>
      <c r="F109" s="94">
        <f t="shared" si="13"/>
        <v>0</v>
      </c>
      <c r="G109" s="94">
        <f t="shared" si="13"/>
        <v>0</v>
      </c>
      <c r="H109" s="94">
        <f t="shared" si="13"/>
        <v>0</v>
      </c>
      <c r="I109" s="94">
        <f t="shared" si="13"/>
        <v>0</v>
      </c>
      <c r="J109" s="94">
        <f t="shared" si="13"/>
        <v>0</v>
      </c>
      <c r="K109" s="94">
        <f t="shared" si="13"/>
        <v>0</v>
      </c>
      <c r="L109" s="94">
        <f t="shared" si="13"/>
        <v>0</v>
      </c>
      <c r="M109" s="94">
        <f t="shared" si="13"/>
        <v>0</v>
      </c>
      <c r="N109" s="94">
        <f t="shared" si="13"/>
        <v>0</v>
      </c>
      <c r="P109" s="93" t="str">
        <f>B109</f>
        <v>overstort gemengd stelsel</v>
      </c>
      <c r="Q109" s="262">
        <f>C109/invulblad!K$59</f>
        <v>0.96480136986301379</v>
      </c>
      <c r="R109" s="262" t="e">
        <f>D109/invulblad!L$59</f>
        <v>#VALUE!</v>
      </c>
      <c r="S109" s="262" t="e">
        <f>E109/invulblad!M$59</f>
        <v>#VALUE!</v>
      </c>
      <c r="T109" s="262" t="e">
        <f>F109/invulblad!N$59</f>
        <v>#VALUE!</v>
      </c>
      <c r="U109" s="262" t="e">
        <f>G109/invulblad!O$59</f>
        <v>#VALUE!</v>
      </c>
      <c r="V109" s="262" t="e">
        <f>H109/invulblad!P$59</f>
        <v>#VALUE!</v>
      </c>
      <c r="W109" s="262" t="e">
        <f>I109/invulblad!Q$59</f>
        <v>#VALUE!</v>
      </c>
      <c r="X109" s="262" t="e">
        <f>J109/invulblad!R$59</f>
        <v>#VALUE!</v>
      </c>
      <c r="Y109" s="262" t="e">
        <f>K109/invulblad!S$59</f>
        <v>#VALUE!</v>
      </c>
      <c r="Z109" s="262" t="e">
        <f>L109/invulblad!T$59</f>
        <v>#VALUE!</v>
      </c>
      <c r="AA109" s="262" t="e">
        <f>M109/invulblad!U$59</f>
        <v>#VALUE!</v>
      </c>
      <c r="AB109" s="262" t="e">
        <f>N109/invulblad!V$59</f>
        <v>#VALUE!</v>
      </c>
    </row>
    <row r="110" spans="1:28" x14ac:dyDescent="0.2">
      <c r="A110" s="93">
        <v>2</v>
      </c>
      <c r="B110" s="91" t="str">
        <f t="shared" si="12"/>
        <v>overstort gemengd stelsel+BB-basin</v>
      </c>
      <c r="C110" s="94">
        <f t="shared" ref="C110:N110" si="14">IFERROR(C132,0)+IFERROR(C154,0)+IFERROR(C176,0)</f>
        <v>0</v>
      </c>
      <c r="D110" s="94">
        <f t="shared" si="14"/>
        <v>0</v>
      </c>
      <c r="E110" s="94">
        <f t="shared" si="14"/>
        <v>0</v>
      </c>
      <c r="F110" s="94">
        <f t="shared" si="14"/>
        <v>0</v>
      </c>
      <c r="G110" s="94">
        <f t="shared" si="14"/>
        <v>0</v>
      </c>
      <c r="H110" s="94">
        <f t="shared" si="14"/>
        <v>0</v>
      </c>
      <c r="I110" s="94">
        <f t="shared" si="14"/>
        <v>0</v>
      </c>
      <c r="J110" s="94">
        <f t="shared" si="14"/>
        <v>0</v>
      </c>
      <c r="K110" s="94">
        <f t="shared" si="14"/>
        <v>0</v>
      </c>
      <c r="L110" s="94">
        <f t="shared" si="14"/>
        <v>0</v>
      </c>
      <c r="M110" s="94">
        <f t="shared" si="14"/>
        <v>0</v>
      </c>
      <c r="N110" s="94">
        <f t="shared" si="14"/>
        <v>0</v>
      </c>
      <c r="P110" s="93" t="str">
        <f>B110</f>
        <v>overstort gemengd stelsel+BB-basin</v>
      </c>
      <c r="Q110" s="262">
        <f>C110/invulblad!K$59</f>
        <v>0</v>
      </c>
      <c r="R110" s="262" t="e">
        <f>D110/invulblad!L$59</f>
        <v>#VALUE!</v>
      </c>
      <c r="S110" s="262" t="e">
        <f>E110/invulblad!M$59</f>
        <v>#VALUE!</v>
      </c>
      <c r="T110" s="262" t="e">
        <f>F110/invulblad!N$59</f>
        <v>#VALUE!</v>
      </c>
      <c r="U110" s="262" t="e">
        <f>G110/invulblad!O$59</f>
        <v>#VALUE!</v>
      </c>
      <c r="V110" s="262" t="e">
        <f>H110/invulblad!P$59</f>
        <v>#VALUE!</v>
      </c>
      <c r="W110" s="262" t="e">
        <f>I110/invulblad!Q$59</f>
        <v>#VALUE!</v>
      </c>
      <c r="X110" s="262" t="e">
        <f>J110/invulblad!R$59</f>
        <v>#VALUE!</v>
      </c>
      <c r="Y110" s="262" t="e">
        <f>K110/invulblad!S$59</f>
        <v>#VALUE!</v>
      </c>
      <c r="Z110" s="262" t="e">
        <f>L110/invulblad!T$59</f>
        <v>#VALUE!</v>
      </c>
      <c r="AA110" s="262" t="e">
        <f>M110/invulblad!U$59</f>
        <v>#VALUE!</v>
      </c>
      <c r="AB110" s="262" t="e">
        <f>N110/invulblad!V$59</f>
        <v>#VALUE!</v>
      </c>
    </row>
    <row r="111" spans="1:28" x14ac:dyDescent="0.2">
      <c r="A111" s="93">
        <v>3</v>
      </c>
      <c r="B111" s="91" t="str">
        <f t="shared" si="12"/>
        <v>DWA-nooduitlaat</v>
      </c>
      <c r="C111" s="94">
        <f t="shared" ref="C111:N111" si="15">IFERROR(C133,0)+IFERROR(C155,0)+IFERROR(C177,0)</f>
        <v>0</v>
      </c>
      <c r="D111" s="94">
        <f t="shared" si="15"/>
        <v>0</v>
      </c>
      <c r="E111" s="94">
        <f t="shared" si="15"/>
        <v>0</v>
      </c>
      <c r="F111" s="94">
        <f t="shared" si="15"/>
        <v>0</v>
      </c>
      <c r="G111" s="94">
        <f t="shared" si="15"/>
        <v>0</v>
      </c>
      <c r="H111" s="94">
        <f t="shared" si="15"/>
        <v>0</v>
      </c>
      <c r="I111" s="94">
        <f t="shared" si="15"/>
        <v>0</v>
      </c>
      <c r="J111" s="94">
        <f t="shared" si="15"/>
        <v>0</v>
      </c>
      <c r="K111" s="94">
        <f t="shared" si="15"/>
        <v>0</v>
      </c>
      <c r="L111" s="94">
        <f t="shared" si="15"/>
        <v>0</v>
      </c>
      <c r="M111" s="94">
        <f t="shared" si="15"/>
        <v>0</v>
      </c>
      <c r="N111" s="94">
        <f t="shared" si="15"/>
        <v>0</v>
      </c>
      <c r="P111" s="93" t="str">
        <f t="shared" ref="P111:P126" si="16">B111</f>
        <v>DWA-nooduitlaat</v>
      </c>
      <c r="Q111" s="262">
        <f>C111/invulblad!K$59</f>
        <v>0</v>
      </c>
      <c r="R111" s="262" t="e">
        <f>D111/invulblad!L$59</f>
        <v>#VALUE!</v>
      </c>
      <c r="S111" s="262" t="e">
        <f>E111/invulblad!M$59</f>
        <v>#VALUE!</v>
      </c>
      <c r="T111" s="262" t="e">
        <f>F111/invulblad!N$59</f>
        <v>#VALUE!</v>
      </c>
      <c r="U111" s="262" t="e">
        <f>G111/invulblad!O$59</f>
        <v>#VALUE!</v>
      </c>
      <c r="V111" s="262" t="e">
        <f>H111/invulblad!P$59</f>
        <v>#VALUE!</v>
      </c>
      <c r="W111" s="262" t="e">
        <f>I111/invulblad!Q$59</f>
        <v>#VALUE!</v>
      </c>
      <c r="X111" s="262" t="e">
        <f>J111/invulblad!R$59</f>
        <v>#VALUE!</v>
      </c>
      <c r="Y111" s="262" t="e">
        <f>K111/invulblad!S$59</f>
        <v>#VALUE!</v>
      </c>
      <c r="Z111" s="262" t="e">
        <f>L111/invulblad!T$59</f>
        <v>#VALUE!</v>
      </c>
      <c r="AA111" s="262" t="e">
        <f>M111/invulblad!U$59</f>
        <v>#VALUE!</v>
      </c>
      <c r="AB111" s="262" t="e">
        <f>N111/invulblad!V$59</f>
        <v>#VALUE!</v>
      </c>
    </row>
    <row r="112" spans="1:28" x14ac:dyDescent="0.2">
      <c r="A112" s="93">
        <v>4</v>
      </c>
      <c r="B112" s="91" t="str">
        <f t="shared" si="12"/>
        <v>RWZI effluent</v>
      </c>
      <c r="C112" s="94">
        <f t="shared" ref="C112:N112" si="17">IFERROR(C134,0)+IFERROR(C156,0)+IFERROR(C178,0)</f>
        <v>0</v>
      </c>
      <c r="D112" s="94">
        <f t="shared" si="17"/>
        <v>0</v>
      </c>
      <c r="E112" s="94">
        <f t="shared" si="17"/>
        <v>0</v>
      </c>
      <c r="F112" s="94">
        <f t="shared" si="17"/>
        <v>0</v>
      </c>
      <c r="G112" s="94">
        <f t="shared" si="17"/>
        <v>0</v>
      </c>
      <c r="H112" s="94">
        <f t="shared" si="17"/>
        <v>0</v>
      </c>
      <c r="I112" s="94">
        <f t="shared" si="17"/>
        <v>0</v>
      </c>
      <c r="J112" s="94">
        <f t="shared" si="17"/>
        <v>0</v>
      </c>
      <c r="K112" s="94">
        <f t="shared" si="17"/>
        <v>0</v>
      </c>
      <c r="L112" s="94">
        <f t="shared" si="17"/>
        <v>0</v>
      </c>
      <c r="M112" s="94">
        <f t="shared" si="17"/>
        <v>0</v>
      </c>
      <c r="N112" s="94">
        <f t="shared" si="17"/>
        <v>0</v>
      </c>
      <c r="P112" s="93" t="str">
        <f t="shared" si="16"/>
        <v>RWZI effluent</v>
      </c>
      <c r="Q112" s="262">
        <f>C112/invulblad!K$59</f>
        <v>0</v>
      </c>
      <c r="R112" s="262" t="e">
        <f>D112/invulblad!L$59</f>
        <v>#VALUE!</v>
      </c>
      <c r="S112" s="262" t="e">
        <f>E112/invulblad!M$59</f>
        <v>#VALUE!</v>
      </c>
      <c r="T112" s="262" t="e">
        <f>F112/invulblad!N$59</f>
        <v>#VALUE!</v>
      </c>
      <c r="U112" s="262" t="e">
        <f>G112/invulblad!O$59</f>
        <v>#VALUE!</v>
      </c>
      <c r="V112" s="262" t="e">
        <f>H112/invulblad!P$59</f>
        <v>#VALUE!</v>
      </c>
      <c r="W112" s="262" t="e">
        <f>I112/invulblad!Q$59</f>
        <v>#VALUE!</v>
      </c>
      <c r="X112" s="262" t="e">
        <f>J112/invulblad!R$59</f>
        <v>#VALUE!</v>
      </c>
      <c r="Y112" s="262" t="e">
        <f>K112/invulblad!S$59</f>
        <v>#VALUE!</v>
      </c>
      <c r="Z112" s="262" t="e">
        <f>L112/invulblad!T$59</f>
        <v>#VALUE!</v>
      </c>
      <c r="AA112" s="262" t="e">
        <f>M112/invulblad!U$59</f>
        <v>#VALUE!</v>
      </c>
      <c r="AB112" s="262" t="e">
        <f>N112/invulblad!V$59</f>
        <v>#VALUE!</v>
      </c>
    </row>
    <row r="113" spans="1:28" x14ac:dyDescent="0.2">
      <c r="A113" s="93">
        <v>5</v>
      </c>
      <c r="B113" s="91" t="str">
        <f t="shared" si="12"/>
        <v>hemelwaterafvoer</v>
      </c>
      <c r="C113" s="94">
        <f t="shared" ref="C113:N113" si="18">IFERROR(C135,0)+IFERROR(C157,0)+IFERROR(C179,0)</f>
        <v>0</v>
      </c>
      <c r="D113" s="94">
        <f t="shared" si="18"/>
        <v>0</v>
      </c>
      <c r="E113" s="94">
        <f t="shared" si="18"/>
        <v>0</v>
      </c>
      <c r="F113" s="94">
        <f t="shared" si="18"/>
        <v>0</v>
      </c>
      <c r="G113" s="94">
        <f t="shared" si="18"/>
        <v>0</v>
      </c>
      <c r="H113" s="94">
        <f t="shared" si="18"/>
        <v>0</v>
      </c>
      <c r="I113" s="94">
        <f t="shared" si="18"/>
        <v>0</v>
      </c>
      <c r="J113" s="94">
        <f t="shared" si="18"/>
        <v>0</v>
      </c>
      <c r="K113" s="94">
        <f t="shared" si="18"/>
        <v>0</v>
      </c>
      <c r="L113" s="94">
        <f t="shared" si="18"/>
        <v>0</v>
      </c>
      <c r="M113" s="94">
        <f t="shared" si="18"/>
        <v>0</v>
      </c>
      <c r="N113" s="94">
        <f t="shared" si="18"/>
        <v>0</v>
      </c>
      <c r="P113" s="93" t="str">
        <f t="shared" si="16"/>
        <v>hemelwaterafvoer</v>
      </c>
      <c r="Q113" s="262">
        <f>C113/invulblad!K$59</f>
        <v>0</v>
      </c>
      <c r="R113" s="262" t="e">
        <f>D113/invulblad!L$59</f>
        <v>#VALUE!</v>
      </c>
      <c r="S113" s="262" t="e">
        <f>E113/invulblad!M$59</f>
        <v>#VALUE!</v>
      </c>
      <c r="T113" s="262" t="e">
        <f>F113/invulblad!N$59</f>
        <v>#VALUE!</v>
      </c>
      <c r="U113" s="262" t="e">
        <f>G113/invulblad!O$59</f>
        <v>#VALUE!</v>
      </c>
      <c r="V113" s="262" t="e">
        <f>H113/invulblad!P$59</f>
        <v>#VALUE!</v>
      </c>
      <c r="W113" s="262" t="e">
        <f>I113/invulblad!Q$59</f>
        <v>#VALUE!</v>
      </c>
      <c r="X113" s="262" t="e">
        <f>J113/invulblad!R$59</f>
        <v>#VALUE!</v>
      </c>
      <c r="Y113" s="262" t="e">
        <f>K113/invulblad!S$59</f>
        <v>#VALUE!</v>
      </c>
      <c r="Z113" s="262" t="e">
        <f>L113/invulblad!T$59</f>
        <v>#VALUE!</v>
      </c>
      <c r="AA113" s="262" t="e">
        <f>M113/invulblad!U$59</f>
        <v>#VALUE!</v>
      </c>
      <c r="AB113" s="262" t="e">
        <f>N113/invulblad!V$59</f>
        <v>#VALUE!</v>
      </c>
    </row>
    <row r="114" spans="1:28" x14ac:dyDescent="0.2">
      <c r="A114" s="93">
        <v>6</v>
      </c>
      <c r="B114" s="91" t="str">
        <f t="shared" si="12"/>
        <v>septic tanks</v>
      </c>
      <c r="C114" s="94">
        <f t="shared" ref="C114:N114" si="19">IFERROR(C136,0)+IFERROR(C158,0)+IFERROR(C180,0)</f>
        <v>0</v>
      </c>
      <c r="D114" s="94">
        <f t="shared" si="19"/>
        <v>0</v>
      </c>
      <c r="E114" s="94">
        <f t="shared" si="19"/>
        <v>0</v>
      </c>
      <c r="F114" s="94">
        <f t="shared" si="19"/>
        <v>0</v>
      </c>
      <c r="G114" s="94">
        <f t="shared" si="19"/>
        <v>0</v>
      </c>
      <c r="H114" s="94">
        <f t="shared" si="19"/>
        <v>0</v>
      </c>
      <c r="I114" s="94">
        <f t="shared" si="19"/>
        <v>0</v>
      </c>
      <c r="J114" s="94">
        <f t="shared" si="19"/>
        <v>0</v>
      </c>
      <c r="K114" s="94">
        <f t="shared" si="19"/>
        <v>0</v>
      </c>
      <c r="L114" s="94">
        <f t="shared" si="19"/>
        <v>0</v>
      </c>
      <c r="M114" s="94">
        <f t="shared" si="19"/>
        <v>0</v>
      </c>
      <c r="N114" s="94">
        <f t="shared" si="19"/>
        <v>0</v>
      </c>
      <c r="P114" s="93" t="str">
        <f t="shared" si="16"/>
        <v>septic tanks</v>
      </c>
      <c r="Q114" s="262">
        <f>C114/invulblad!K$59</f>
        <v>0</v>
      </c>
      <c r="R114" s="262" t="e">
        <f>D114/invulblad!L$59</f>
        <v>#VALUE!</v>
      </c>
      <c r="S114" s="262" t="e">
        <f>E114/invulblad!M$59</f>
        <v>#VALUE!</v>
      </c>
      <c r="T114" s="262" t="e">
        <f>F114/invulblad!N$59</f>
        <v>#VALUE!</v>
      </c>
      <c r="U114" s="262" t="e">
        <f>G114/invulblad!O$59</f>
        <v>#VALUE!</v>
      </c>
      <c r="V114" s="262" t="e">
        <f>H114/invulblad!P$59</f>
        <v>#VALUE!</v>
      </c>
      <c r="W114" s="262" t="e">
        <f>I114/invulblad!Q$59</f>
        <v>#VALUE!</v>
      </c>
      <c r="X114" s="262" t="e">
        <f>J114/invulblad!R$59</f>
        <v>#VALUE!</v>
      </c>
      <c r="Y114" s="262" t="e">
        <f>K114/invulblad!S$59</f>
        <v>#VALUE!</v>
      </c>
      <c r="Z114" s="262" t="e">
        <f>L114/invulblad!T$59</f>
        <v>#VALUE!</v>
      </c>
      <c r="AA114" s="262" t="e">
        <f>M114/invulblad!U$59</f>
        <v>#VALUE!</v>
      </c>
      <c r="AB114" s="262" t="e">
        <f>N114/invulblad!V$59</f>
        <v>#VALUE!</v>
      </c>
    </row>
    <row r="115" spans="1:28" x14ac:dyDescent="0.2">
      <c r="A115" s="93">
        <v>7</v>
      </c>
      <c r="B115" s="91" t="str">
        <f t="shared" si="12"/>
        <v>IBA's</v>
      </c>
      <c r="C115" s="94">
        <f t="shared" ref="C115:N115" si="20">IFERROR(C137,0)+IFERROR(C159,0)+IFERROR(C181,0)</f>
        <v>198.55</v>
      </c>
      <c r="D115" s="94">
        <f t="shared" si="20"/>
        <v>0</v>
      </c>
      <c r="E115" s="94">
        <f t="shared" si="20"/>
        <v>0</v>
      </c>
      <c r="F115" s="94">
        <f t="shared" si="20"/>
        <v>0</v>
      </c>
      <c r="G115" s="94">
        <f t="shared" si="20"/>
        <v>0</v>
      </c>
      <c r="H115" s="94">
        <f t="shared" si="20"/>
        <v>0</v>
      </c>
      <c r="I115" s="94">
        <f t="shared" si="20"/>
        <v>0</v>
      </c>
      <c r="J115" s="94">
        <f t="shared" si="20"/>
        <v>0</v>
      </c>
      <c r="K115" s="94">
        <f t="shared" si="20"/>
        <v>0</v>
      </c>
      <c r="L115" s="94">
        <f t="shared" si="20"/>
        <v>0</v>
      </c>
      <c r="M115" s="94">
        <f t="shared" si="20"/>
        <v>0</v>
      </c>
      <c r="N115" s="94">
        <f t="shared" si="20"/>
        <v>0</v>
      </c>
      <c r="P115" s="93" t="str">
        <f t="shared" si="16"/>
        <v>IBA's</v>
      </c>
      <c r="Q115" s="262">
        <f>C115/invulblad!K$59</f>
        <v>0.12409375</v>
      </c>
      <c r="R115" s="262" t="e">
        <f>D115/invulblad!L$59</f>
        <v>#VALUE!</v>
      </c>
      <c r="S115" s="262" t="e">
        <f>E115/invulblad!M$59</f>
        <v>#VALUE!</v>
      </c>
      <c r="T115" s="262" t="e">
        <f>F115/invulblad!N$59</f>
        <v>#VALUE!</v>
      </c>
      <c r="U115" s="262" t="e">
        <f>G115/invulblad!O$59</f>
        <v>#VALUE!</v>
      </c>
      <c r="V115" s="262" t="e">
        <f>H115/invulblad!P$59</f>
        <v>#VALUE!</v>
      </c>
      <c r="W115" s="262" t="e">
        <f>I115/invulblad!Q$59</f>
        <v>#VALUE!</v>
      </c>
      <c r="X115" s="262" t="e">
        <f>J115/invulblad!R$59</f>
        <v>#VALUE!</v>
      </c>
      <c r="Y115" s="262" t="e">
        <f>K115/invulblad!S$59</f>
        <v>#VALUE!</v>
      </c>
      <c r="Z115" s="262" t="e">
        <f>L115/invulblad!T$59</f>
        <v>#VALUE!</v>
      </c>
      <c r="AA115" s="262" t="e">
        <f>M115/invulblad!U$59</f>
        <v>#VALUE!</v>
      </c>
      <c r="AB115" s="262" t="e">
        <f>N115/invulblad!V$59</f>
        <v>#VALUE!</v>
      </c>
    </row>
    <row r="116" spans="1:28" x14ac:dyDescent="0.2">
      <c r="A116" s="93">
        <v>8</v>
      </c>
      <c r="B116" s="91" t="str">
        <f t="shared" si="12"/>
        <v>bladval loofbomen</v>
      </c>
      <c r="C116" s="94">
        <f t="shared" ref="C116:N116" si="21">IFERROR(C138,0)+IFERROR(C160,0)+IFERROR(C182,0)</f>
        <v>411</v>
      </c>
      <c r="D116" s="94">
        <f t="shared" si="21"/>
        <v>0</v>
      </c>
      <c r="E116" s="94">
        <f t="shared" si="21"/>
        <v>0</v>
      </c>
      <c r="F116" s="94">
        <f t="shared" si="21"/>
        <v>0</v>
      </c>
      <c r="G116" s="94">
        <f t="shared" si="21"/>
        <v>0</v>
      </c>
      <c r="H116" s="94">
        <f t="shared" si="21"/>
        <v>0</v>
      </c>
      <c r="I116" s="94">
        <f t="shared" si="21"/>
        <v>0</v>
      </c>
      <c r="J116" s="94">
        <f t="shared" si="21"/>
        <v>0</v>
      </c>
      <c r="K116" s="94">
        <f t="shared" si="21"/>
        <v>0</v>
      </c>
      <c r="L116" s="94">
        <f t="shared" si="21"/>
        <v>0</v>
      </c>
      <c r="M116" s="94">
        <f t="shared" si="21"/>
        <v>0</v>
      </c>
      <c r="N116" s="94">
        <f t="shared" si="21"/>
        <v>0</v>
      </c>
      <c r="P116" s="93" t="str">
        <f t="shared" si="16"/>
        <v>bladval loofbomen</v>
      </c>
      <c r="Q116" s="262">
        <f>C116/invulblad!K$59</f>
        <v>0.25687500000000002</v>
      </c>
      <c r="R116" s="262" t="e">
        <f>D116/invulblad!L$59</f>
        <v>#VALUE!</v>
      </c>
      <c r="S116" s="262" t="e">
        <f>E116/invulblad!M$59</f>
        <v>#VALUE!</v>
      </c>
      <c r="T116" s="262" t="e">
        <f>F116/invulblad!N$59</f>
        <v>#VALUE!</v>
      </c>
      <c r="U116" s="262" t="e">
        <f>G116/invulblad!O$59</f>
        <v>#VALUE!</v>
      </c>
      <c r="V116" s="262" t="e">
        <f>H116/invulblad!P$59</f>
        <v>#VALUE!</v>
      </c>
      <c r="W116" s="262" t="e">
        <f>I116/invulblad!Q$59</f>
        <v>#VALUE!</v>
      </c>
      <c r="X116" s="262" t="e">
        <f>J116/invulblad!R$59</f>
        <v>#VALUE!</v>
      </c>
      <c r="Y116" s="262" t="e">
        <f>K116/invulblad!S$59</f>
        <v>#VALUE!</v>
      </c>
      <c r="Z116" s="262" t="e">
        <f>L116/invulblad!T$59</f>
        <v>#VALUE!</v>
      </c>
      <c r="AA116" s="262" t="e">
        <f>M116/invulblad!U$59</f>
        <v>#VALUE!</v>
      </c>
      <c r="AB116" s="262" t="e">
        <f>N116/invulblad!V$59</f>
        <v>#VALUE!</v>
      </c>
    </row>
    <row r="117" spans="1:28" x14ac:dyDescent="0.2">
      <c r="A117" s="93">
        <v>9</v>
      </c>
      <c r="B117" s="91" t="str">
        <f t="shared" si="12"/>
        <v>bladval naaldbomen</v>
      </c>
      <c r="C117" s="94">
        <f t="shared" ref="C117:N117" si="22">IFERROR(C139,0)+IFERROR(C161,0)+IFERROR(C183,0)</f>
        <v>0</v>
      </c>
      <c r="D117" s="94">
        <f t="shared" si="22"/>
        <v>0</v>
      </c>
      <c r="E117" s="94">
        <f t="shared" si="22"/>
        <v>0</v>
      </c>
      <c r="F117" s="94">
        <f t="shared" si="22"/>
        <v>0</v>
      </c>
      <c r="G117" s="94">
        <f t="shared" si="22"/>
        <v>0</v>
      </c>
      <c r="H117" s="94">
        <f t="shared" si="22"/>
        <v>0</v>
      </c>
      <c r="I117" s="94">
        <f t="shared" si="22"/>
        <v>0</v>
      </c>
      <c r="J117" s="94">
        <f t="shared" si="22"/>
        <v>0</v>
      </c>
      <c r="K117" s="94">
        <f t="shared" si="22"/>
        <v>0</v>
      </c>
      <c r="L117" s="94">
        <f t="shared" si="22"/>
        <v>0</v>
      </c>
      <c r="M117" s="94">
        <f t="shared" si="22"/>
        <v>0</v>
      </c>
      <c r="N117" s="94">
        <f t="shared" si="22"/>
        <v>0</v>
      </c>
      <c r="P117" s="93" t="str">
        <f t="shared" si="16"/>
        <v>bladval naaldbomen</v>
      </c>
      <c r="Q117" s="262">
        <f>C117/invulblad!K$59</f>
        <v>0</v>
      </c>
      <c r="R117" s="262" t="e">
        <f>D117/invulblad!L$59</f>
        <v>#VALUE!</v>
      </c>
      <c r="S117" s="262" t="e">
        <f>E117/invulblad!M$59</f>
        <v>#VALUE!</v>
      </c>
      <c r="T117" s="262" t="e">
        <f>F117/invulblad!N$59</f>
        <v>#VALUE!</v>
      </c>
      <c r="U117" s="262" t="e">
        <f>G117/invulblad!O$59</f>
        <v>#VALUE!</v>
      </c>
      <c r="V117" s="262" t="e">
        <f>H117/invulblad!P$59</f>
        <v>#VALUE!</v>
      </c>
      <c r="W117" s="262" t="e">
        <f>I117/invulblad!Q$59</f>
        <v>#VALUE!</v>
      </c>
      <c r="X117" s="262" t="e">
        <f>J117/invulblad!R$59</f>
        <v>#VALUE!</v>
      </c>
      <c r="Y117" s="262" t="e">
        <f>K117/invulblad!S$59</f>
        <v>#VALUE!</v>
      </c>
      <c r="Z117" s="262" t="e">
        <f>L117/invulblad!T$59</f>
        <v>#VALUE!</v>
      </c>
      <c r="AA117" s="262" t="e">
        <f>M117/invulblad!U$59</f>
        <v>#VALUE!</v>
      </c>
      <c r="AB117" s="262" t="e">
        <f>N117/invulblad!V$59</f>
        <v>#VALUE!</v>
      </c>
    </row>
    <row r="118" spans="1:28" x14ac:dyDescent="0.2">
      <c r="A118" s="93">
        <v>10</v>
      </c>
      <c r="B118" s="91" t="str">
        <f t="shared" si="12"/>
        <v>hondenpoep</v>
      </c>
      <c r="C118" s="94">
        <f t="shared" ref="C118:N118" si="23">IFERROR(C140,0)+IFERROR(C162,0)+IFERROR(C184,0)</f>
        <v>0</v>
      </c>
      <c r="D118" s="94">
        <f t="shared" si="23"/>
        <v>0</v>
      </c>
      <c r="E118" s="94">
        <f t="shared" si="23"/>
        <v>0</v>
      </c>
      <c r="F118" s="94">
        <f t="shared" si="23"/>
        <v>0</v>
      </c>
      <c r="G118" s="94">
        <f t="shared" si="23"/>
        <v>0</v>
      </c>
      <c r="H118" s="94">
        <f t="shared" si="23"/>
        <v>0</v>
      </c>
      <c r="I118" s="94">
        <f t="shared" si="23"/>
        <v>0</v>
      </c>
      <c r="J118" s="94">
        <f t="shared" si="23"/>
        <v>0</v>
      </c>
      <c r="K118" s="94">
        <f t="shared" si="23"/>
        <v>0</v>
      </c>
      <c r="L118" s="94">
        <f t="shared" si="23"/>
        <v>0</v>
      </c>
      <c r="M118" s="94">
        <f t="shared" si="23"/>
        <v>0</v>
      </c>
      <c r="N118" s="94">
        <f t="shared" si="23"/>
        <v>0</v>
      </c>
      <c r="P118" s="93" t="str">
        <f t="shared" si="16"/>
        <v>hondenpoep</v>
      </c>
      <c r="Q118" s="262">
        <f>C118/invulblad!K$59</f>
        <v>0</v>
      </c>
      <c r="R118" s="262" t="e">
        <f>D118/invulblad!L$59</f>
        <v>#VALUE!</v>
      </c>
      <c r="S118" s="262" t="e">
        <f>E118/invulblad!M$59</f>
        <v>#VALUE!</v>
      </c>
      <c r="T118" s="262" t="e">
        <f>F118/invulblad!N$59</f>
        <v>#VALUE!</v>
      </c>
      <c r="U118" s="262" t="e">
        <f>G118/invulblad!O$59</f>
        <v>#VALUE!</v>
      </c>
      <c r="V118" s="262" t="e">
        <f>H118/invulblad!P$59</f>
        <v>#VALUE!</v>
      </c>
      <c r="W118" s="262" t="e">
        <f>I118/invulblad!Q$59</f>
        <v>#VALUE!</v>
      </c>
      <c r="X118" s="262" t="e">
        <f>J118/invulblad!R$59</f>
        <v>#VALUE!</v>
      </c>
      <c r="Y118" s="262" t="e">
        <f>K118/invulblad!S$59</f>
        <v>#VALUE!</v>
      </c>
      <c r="Z118" s="262" t="e">
        <f>L118/invulblad!T$59</f>
        <v>#VALUE!</v>
      </c>
      <c r="AA118" s="262" t="e">
        <f>M118/invulblad!U$59</f>
        <v>#VALUE!</v>
      </c>
      <c r="AB118" s="262" t="e">
        <f>N118/invulblad!V$59</f>
        <v>#VALUE!</v>
      </c>
    </row>
    <row r="119" spans="1:28" x14ac:dyDescent="0.2">
      <c r="A119" s="93">
        <v>11</v>
      </c>
      <c r="B119" s="91" t="str">
        <f t="shared" si="12"/>
        <v>voeren vogels</v>
      </c>
      <c r="C119" s="94">
        <f t="shared" ref="C119:N119" si="24">IFERROR(C141,0)+IFERROR(C163,0)+IFERROR(C185,0)</f>
        <v>0</v>
      </c>
      <c r="D119" s="94">
        <f t="shared" si="24"/>
        <v>0</v>
      </c>
      <c r="E119" s="94">
        <f t="shared" si="24"/>
        <v>0</v>
      </c>
      <c r="F119" s="94">
        <f t="shared" si="24"/>
        <v>0</v>
      </c>
      <c r="G119" s="94">
        <f t="shared" si="24"/>
        <v>0</v>
      </c>
      <c r="H119" s="94">
        <f t="shared" si="24"/>
        <v>0</v>
      </c>
      <c r="I119" s="94">
        <f t="shared" si="24"/>
        <v>0</v>
      </c>
      <c r="J119" s="94">
        <f t="shared" si="24"/>
        <v>0</v>
      </c>
      <c r="K119" s="94">
        <f t="shared" si="24"/>
        <v>0</v>
      </c>
      <c r="L119" s="94">
        <f t="shared" si="24"/>
        <v>0</v>
      </c>
      <c r="M119" s="94">
        <f t="shared" si="24"/>
        <v>0</v>
      </c>
      <c r="N119" s="94">
        <f t="shared" si="24"/>
        <v>0</v>
      </c>
      <c r="P119" s="93" t="str">
        <f t="shared" si="16"/>
        <v>voeren vogels</v>
      </c>
      <c r="Q119" s="262">
        <f>C119/invulblad!K$59</f>
        <v>0</v>
      </c>
      <c r="R119" s="262" t="e">
        <f>D119/invulblad!L$59</f>
        <v>#VALUE!</v>
      </c>
      <c r="S119" s="262" t="e">
        <f>E119/invulblad!M$59</f>
        <v>#VALUE!</v>
      </c>
      <c r="T119" s="262" t="e">
        <f>F119/invulblad!N$59</f>
        <v>#VALUE!</v>
      </c>
      <c r="U119" s="262" t="e">
        <f>G119/invulblad!O$59</f>
        <v>#VALUE!</v>
      </c>
      <c r="V119" s="262" t="e">
        <f>H119/invulblad!P$59</f>
        <v>#VALUE!</v>
      </c>
      <c r="W119" s="262" t="e">
        <f>I119/invulblad!Q$59</f>
        <v>#VALUE!</v>
      </c>
      <c r="X119" s="262" t="e">
        <f>J119/invulblad!R$59</f>
        <v>#VALUE!</v>
      </c>
      <c r="Y119" s="262" t="e">
        <f>K119/invulblad!S$59</f>
        <v>#VALUE!</v>
      </c>
      <c r="Z119" s="262" t="e">
        <f>L119/invulblad!T$59</f>
        <v>#VALUE!</v>
      </c>
      <c r="AA119" s="262" t="e">
        <f>M119/invulblad!U$59</f>
        <v>#VALUE!</v>
      </c>
      <c r="AB119" s="262" t="e">
        <f>N119/invulblad!V$59</f>
        <v>#VALUE!</v>
      </c>
    </row>
    <row r="120" spans="1:28" x14ac:dyDescent="0.2">
      <c r="A120" s="93">
        <v>12</v>
      </c>
      <c r="B120" s="91" t="str">
        <f t="shared" si="12"/>
        <v>lokvoer vissen</v>
      </c>
      <c r="C120" s="94">
        <f t="shared" ref="C120:N120" si="25">IFERROR(C142,0)+IFERROR(C164,0)+IFERROR(C186,0)</f>
        <v>0</v>
      </c>
      <c r="D120" s="94">
        <f t="shared" si="25"/>
        <v>0</v>
      </c>
      <c r="E120" s="94">
        <f t="shared" si="25"/>
        <v>0</v>
      </c>
      <c r="F120" s="94">
        <f t="shared" si="25"/>
        <v>0</v>
      </c>
      <c r="G120" s="94">
        <f t="shared" si="25"/>
        <v>0</v>
      </c>
      <c r="H120" s="94">
        <f t="shared" si="25"/>
        <v>0</v>
      </c>
      <c r="I120" s="94">
        <f t="shared" si="25"/>
        <v>0</v>
      </c>
      <c r="J120" s="94">
        <f t="shared" si="25"/>
        <v>0</v>
      </c>
      <c r="K120" s="94">
        <f t="shared" si="25"/>
        <v>0</v>
      </c>
      <c r="L120" s="94">
        <f t="shared" si="25"/>
        <v>0</v>
      </c>
      <c r="M120" s="94">
        <f t="shared" si="25"/>
        <v>0</v>
      </c>
      <c r="N120" s="94">
        <f t="shared" si="25"/>
        <v>0</v>
      </c>
      <c r="P120" s="93" t="str">
        <f t="shared" si="16"/>
        <v>lokvoer vissen</v>
      </c>
      <c r="Q120" s="262">
        <f>C120/invulblad!K$59</f>
        <v>0</v>
      </c>
      <c r="R120" s="262" t="e">
        <f>D120/invulblad!L$59</f>
        <v>#VALUE!</v>
      </c>
      <c r="S120" s="262" t="e">
        <f>E120/invulblad!M$59</f>
        <v>#VALUE!</v>
      </c>
      <c r="T120" s="262" t="e">
        <f>F120/invulblad!N$59</f>
        <v>#VALUE!</v>
      </c>
      <c r="U120" s="262" t="e">
        <f>G120/invulblad!O$59</f>
        <v>#VALUE!</v>
      </c>
      <c r="V120" s="262" t="e">
        <f>H120/invulblad!P$59</f>
        <v>#VALUE!</v>
      </c>
      <c r="W120" s="262" t="e">
        <f>I120/invulblad!Q$59</f>
        <v>#VALUE!</v>
      </c>
      <c r="X120" s="262" t="e">
        <f>J120/invulblad!R$59</f>
        <v>#VALUE!</v>
      </c>
      <c r="Y120" s="262" t="e">
        <f>K120/invulblad!S$59</f>
        <v>#VALUE!</v>
      </c>
      <c r="Z120" s="262" t="e">
        <f>L120/invulblad!T$59</f>
        <v>#VALUE!</v>
      </c>
      <c r="AA120" s="262" t="e">
        <f>M120/invulblad!U$59</f>
        <v>#VALUE!</v>
      </c>
      <c r="AB120" s="262" t="e">
        <f>N120/invulblad!V$59</f>
        <v>#VALUE!</v>
      </c>
    </row>
    <row r="121" spans="1:28" x14ac:dyDescent="0.2">
      <c r="A121" s="93">
        <v>13</v>
      </c>
      <c r="B121" s="91" t="str">
        <f t="shared" si="12"/>
        <v>afspoeling mest</v>
      </c>
      <c r="C121" s="94">
        <f t="shared" ref="C121:N121" si="26">IFERROR(C143,0)+IFERROR(C165,0)+IFERROR(C187,0)</f>
        <v>0</v>
      </c>
      <c r="D121" s="94">
        <f t="shared" si="26"/>
        <v>0</v>
      </c>
      <c r="E121" s="94">
        <f t="shared" si="26"/>
        <v>0</v>
      </c>
      <c r="F121" s="94">
        <f t="shared" si="26"/>
        <v>0</v>
      </c>
      <c r="G121" s="94">
        <f t="shared" si="26"/>
        <v>0</v>
      </c>
      <c r="H121" s="94">
        <f t="shared" si="26"/>
        <v>0</v>
      </c>
      <c r="I121" s="94">
        <f t="shared" si="26"/>
        <v>0</v>
      </c>
      <c r="J121" s="94">
        <f t="shared" si="26"/>
        <v>0</v>
      </c>
      <c r="K121" s="94">
        <f t="shared" si="26"/>
        <v>0</v>
      </c>
      <c r="L121" s="94">
        <f t="shared" si="26"/>
        <v>0</v>
      </c>
      <c r="M121" s="94">
        <f t="shared" si="26"/>
        <v>0</v>
      </c>
      <c r="N121" s="94">
        <f t="shared" si="26"/>
        <v>0</v>
      </c>
      <c r="P121" s="93" t="str">
        <f t="shared" si="16"/>
        <v>afspoeling mest</v>
      </c>
      <c r="Q121" s="262">
        <f>C121/invulblad!K$59</f>
        <v>0</v>
      </c>
      <c r="R121" s="262" t="e">
        <f>D121/invulblad!L$59</f>
        <v>#VALUE!</v>
      </c>
      <c r="S121" s="262" t="e">
        <f>E121/invulblad!M$59</f>
        <v>#VALUE!</v>
      </c>
      <c r="T121" s="262" t="e">
        <f>F121/invulblad!N$59</f>
        <v>#VALUE!</v>
      </c>
      <c r="U121" s="262" t="e">
        <f>G121/invulblad!O$59</f>
        <v>#VALUE!</v>
      </c>
      <c r="V121" s="262" t="e">
        <f>H121/invulblad!P$59</f>
        <v>#VALUE!</v>
      </c>
      <c r="W121" s="262" t="e">
        <f>I121/invulblad!Q$59</f>
        <v>#VALUE!</v>
      </c>
      <c r="X121" s="262" t="e">
        <f>J121/invulblad!R$59</f>
        <v>#VALUE!</v>
      </c>
      <c r="Y121" s="262" t="e">
        <f>K121/invulblad!S$59</f>
        <v>#VALUE!</v>
      </c>
      <c r="Z121" s="262" t="e">
        <f>L121/invulblad!T$59</f>
        <v>#VALUE!</v>
      </c>
      <c r="AA121" s="262" t="e">
        <f>M121/invulblad!U$59</f>
        <v>#VALUE!</v>
      </c>
      <c r="AB121" s="262" t="e">
        <f>N121/invulblad!V$59</f>
        <v>#VALUE!</v>
      </c>
    </row>
    <row r="122" spans="1:28" x14ac:dyDescent="0.2">
      <c r="A122" s="93">
        <v>14</v>
      </c>
      <c r="B122" s="91" t="str">
        <f t="shared" si="12"/>
        <v>aanvoerwater</v>
      </c>
      <c r="C122" s="94">
        <f t="shared" ref="C122:N122" si="27">IFERROR(C144,0)+IFERROR(C166,0)+IFERROR(C188,0)</f>
        <v>349.68</v>
      </c>
      <c r="D122" s="94">
        <f t="shared" si="27"/>
        <v>0</v>
      </c>
      <c r="E122" s="94">
        <f t="shared" si="27"/>
        <v>0</v>
      </c>
      <c r="F122" s="94">
        <f t="shared" si="27"/>
        <v>0</v>
      </c>
      <c r="G122" s="94">
        <f t="shared" si="27"/>
        <v>0</v>
      </c>
      <c r="H122" s="94">
        <f t="shared" si="27"/>
        <v>0</v>
      </c>
      <c r="I122" s="94">
        <f t="shared" si="27"/>
        <v>0</v>
      </c>
      <c r="J122" s="94">
        <f t="shared" si="27"/>
        <v>0</v>
      </c>
      <c r="K122" s="94">
        <f t="shared" si="27"/>
        <v>0</v>
      </c>
      <c r="L122" s="94">
        <f t="shared" si="27"/>
        <v>0</v>
      </c>
      <c r="M122" s="94">
        <f t="shared" si="27"/>
        <v>0</v>
      </c>
      <c r="N122" s="94">
        <f t="shared" si="27"/>
        <v>0</v>
      </c>
      <c r="P122" s="93" t="str">
        <f t="shared" si="16"/>
        <v>aanvoerwater</v>
      </c>
      <c r="Q122" s="262">
        <f>C122/invulblad!K$59</f>
        <v>0.21854999999999999</v>
      </c>
      <c r="R122" s="262" t="e">
        <f>D122/invulblad!L$59</f>
        <v>#VALUE!</v>
      </c>
      <c r="S122" s="262" t="e">
        <f>E122/invulblad!M$59</f>
        <v>#VALUE!</v>
      </c>
      <c r="T122" s="262" t="e">
        <f>F122/invulblad!N$59</f>
        <v>#VALUE!</v>
      </c>
      <c r="U122" s="262" t="e">
        <f>G122/invulblad!O$59</f>
        <v>#VALUE!</v>
      </c>
      <c r="V122" s="262" t="e">
        <f>H122/invulblad!P$59</f>
        <v>#VALUE!</v>
      </c>
      <c r="W122" s="262" t="e">
        <f>I122/invulblad!Q$59</f>
        <v>#VALUE!</v>
      </c>
      <c r="X122" s="262" t="e">
        <f>J122/invulblad!R$59</f>
        <v>#VALUE!</v>
      </c>
      <c r="Y122" s="262" t="e">
        <f>K122/invulblad!S$59</f>
        <v>#VALUE!</v>
      </c>
      <c r="Z122" s="262" t="e">
        <f>L122/invulblad!T$59</f>
        <v>#VALUE!</v>
      </c>
      <c r="AA122" s="262" t="e">
        <f>M122/invulblad!U$59</f>
        <v>#VALUE!</v>
      </c>
      <c r="AB122" s="262" t="e">
        <f>N122/invulblad!V$59</f>
        <v>#VALUE!</v>
      </c>
    </row>
    <row r="123" spans="1:28" x14ac:dyDescent="0.2">
      <c r="A123" s="93">
        <v>15</v>
      </c>
      <c r="B123" s="91" t="str">
        <f t="shared" si="12"/>
        <v>overige bron1</v>
      </c>
      <c r="C123" s="94">
        <f t="shared" ref="C123:N123" si="28">IFERROR(C145,0)+IFERROR(C167,0)+IFERROR(C189,0)</f>
        <v>0</v>
      </c>
      <c r="D123" s="94">
        <f t="shared" si="28"/>
        <v>0</v>
      </c>
      <c r="E123" s="94">
        <f t="shared" si="28"/>
        <v>0</v>
      </c>
      <c r="F123" s="94">
        <f t="shared" si="28"/>
        <v>0</v>
      </c>
      <c r="G123" s="94">
        <f t="shared" si="28"/>
        <v>0</v>
      </c>
      <c r="H123" s="94">
        <f t="shared" si="28"/>
        <v>0</v>
      </c>
      <c r="I123" s="94">
        <f t="shared" si="28"/>
        <v>0</v>
      </c>
      <c r="J123" s="94">
        <f t="shared" si="28"/>
        <v>0</v>
      </c>
      <c r="K123" s="94">
        <f t="shared" si="28"/>
        <v>0</v>
      </c>
      <c r="L123" s="94">
        <f t="shared" si="28"/>
        <v>0</v>
      </c>
      <c r="M123" s="94">
        <f t="shared" si="28"/>
        <v>0</v>
      </c>
      <c r="N123" s="94">
        <f t="shared" si="28"/>
        <v>0</v>
      </c>
      <c r="P123" s="93" t="str">
        <f t="shared" si="16"/>
        <v>overige bron1</v>
      </c>
      <c r="Q123" s="262">
        <f>C123/invulblad!K$59</f>
        <v>0</v>
      </c>
      <c r="R123" s="262" t="e">
        <f>D123/invulblad!L$59</f>
        <v>#VALUE!</v>
      </c>
      <c r="S123" s="262" t="e">
        <f>E123/invulblad!M$59</f>
        <v>#VALUE!</v>
      </c>
      <c r="T123" s="262" t="e">
        <f>F123/invulblad!N$59</f>
        <v>#VALUE!</v>
      </c>
      <c r="U123" s="262" t="e">
        <f>G123/invulblad!O$59</f>
        <v>#VALUE!</v>
      </c>
      <c r="V123" s="262" t="e">
        <f>H123/invulblad!P$59</f>
        <v>#VALUE!</v>
      </c>
      <c r="W123" s="262" t="e">
        <f>I123/invulblad!Q$59</f>
        <v>#VALUE!</v>
      </c>
      <c r="X123" s="262" t="e">
        <f>J123/invulblad!R$59</f>
        <v>#VALUE!</v>
      </c>
      <c r="Y123" s="262" t="e">
        <f>K123/invulblad!S$59</f>
        <v>#VALUE!</v>
      </c>
      <c r="Z123" s="262" t="e">
        <f>L123/invulblad!T$59</f>
        <v>#VALUE!</v>
      </c>
      <c r="AA123" s="262" t="e">
        <f>M123/invulblad!U$59</f>
        <v>#VALUE!</v>
      </c>
      <c r="AB123" s="262" t="e">
        <f>N123/invulblad!V$59</f>
        <v>#VALUE!</v>
      </c>
    </row>
    <row r="124" spans="1:28" x14ac:dyDescent="0.2">
      <c r="A124" s="93">
        <v>16</v>
      </c>
      <c r="B124" s="91" t="str">
        <f t="shared" si="12"/>
        <v>overige bron2</v>
      </c>
      <c r="C124" s="94">
        <f t="shared" ref="C124:N124" si="29">IFERROR(C146,0)+IFERROR(C168,0)+IFERROR(C190,0)</f>
        <v>0</v>
      </c>
      <c r="D124" s="94">
        <f t="shared" si="29"/>
        <v>0</v>
      </c>
      <c r="E124" s="94">
        <f t="shared" si="29"/>
        <v>0</v>
      </c>
      <c r="F124" s="94">
        <f t="shared" si="29"/>
        <v>0</v>
      </c>
      <c r="G124" s="94">
        <f t="shared" si="29"/>
        <v>0</v>
      </c>
      <c r="H124" s="94">
        <f t="shared" si="29"/>
        <v>0</v>
      </c>
      <c r="I124" s="94">
        <f t="shared" si="29"/>
        <v>0</v>
      </c>
      <c r="J124" s="94">
        <f t="shared" si="29"/>
        <v>0</v>
      </c>
      <c r="K124" s="94">
        <f t="shared" si="29"/>
        <v>0</v>
      </c>
      <c r="L124" s="94">
        <f t="shared" si="29"/>
        <v>0</v>
      </c>
      <c r="M124" s="94">
        <f t="shared" si="29"/>
        <v>0</v>
      </c>
      <c r="N124" s="94">
        <f t="shared" si="29"/>
        <v>0</v>
      </c>
      <c r="P124" s="93" t="str">
        <f t="shared" si="16"/>
        <v>overige bron2</v>
      </c>
      <c r="Q124" s="262">
        <f>C124/invulblad!K$59</f>
        <v>0</v>
      </c>
      <c r="R124" s="262" t="e">
        <f>D124/invulblad!L$59</f>
        <v>#VALUE!</v>
      </c>
      <c r="S124" s="262" t="e">
        <f>E124/invulblad!M$59</f>
        <v>#VALUE!</v>
      </c>
      <c r="T124" s="262" t="e">
        <f>F124/invulblad!N$59</f>
        <v>#VALUE!</v>
      </c>
      <c r="U124" s="262" t="e">
        <f>G124/invulblad!O$59</f>
        <v>#VALUE!</v>
      </c>
      <c r="V124" s="262" t="e">
        <f>H124/invulblad!P$59</f>
        <v>#VALUE!</v>
      </c>
      <c r="W124" s="262" t="e">
        <f>I124/invulblad!Q$59</f>
        <v>#VALUE!</v>
      </c>
      <c r="X124" s="262" t="e">
        <f>J124/invulblad!R$59</f>
        <v>#VALUE!</v>
      </c>
      <c r="Y124" s="262" t="e">
        <f>K124/invulblad!S$59</f>
        <v>#VALUE!</v>
      </c>
      <c r="Z124" s="262" t="e">
        <f>L124/invulblad!T$59</f>
        <v>#VALUE!</v>
      </c>
      <c r="AA124" s="262" t="e">
        <f>M124/invulblad!U$59</f>
        <v>#VALUE!</v>
      </c>
      <c r="AB124" s="262" t="e">
        <f>N124/invulblad!V$59</f>
        <v>#VALUE!</v>
      </c>
    </row>
    <row r="125" spans="1:28" x14ac:dyDescent="0.2">
      <c r="A125" s="93">
        <v>17</v>
      </c>
      <c r="B125" s="91" t="str">
        <f t="shared" si="12"/>
        <v>overige bron3</v>
      </c>
      <c r="C125" s="94">
        <f t="shared" ref="C125:N125" si="30">IFERROR(C147,0)+IFERROR(C169,0)+IFERROR(C191,0)</f>
        <v>0</v>
      </c>
      <c r="D125" s="94">
        <f t="shared" si="30"/>
        <v>0</v>
      </c>
      <c r="E125" s="94">
        <f t="shared" si="30"/>
        <v>0</v>
      </c>
      <c r="F125" s="94">
        <f t="shared" si="30"/>
        <v>0</v>
      </c>
      <c r="G125" s="94">
        <f t="shared" si="30"/>
        <v>0</v>
      </c>
      <c r="H125" s="94">
        <f t="shared" si="30"/>
        <v>0</v>
      </c>
      <c r="I125" s="94">
        <f t="shared" si="30"/>
        <v>0</v>
      </c>
      <c r="J125" s="94">
        <f t="shared" si="30"/>
        <v>0</v>
      </c>
      <c r="K125" s="94">
        <f t="shared" si="30"/>
        <v>0</v>
      </c>
      <c r="L125" s="94">
        <f t="shared" si="30"/>
        <v>0</v>
      </c>
      <c r="M125" s="94">
        <f t="shared" si="30"/>
        <v>0</v>
      </c>
      <c r="N125" s="94">
        <f t="shared" si="30"/>
        <v>0</v>
      </c>
      <c r="P125" s="93" t="str">
        <f t="shared" si="16"/>
        <v>overige bron3</v>
      </c>
      <c r="Q125" s="262">
        <f>C125/invulblad!K$59</f>
        <v>0</v>
      </c>
      <c r="R125" s="262" t="e">
        <f>D125/invulblad!L$59</f>
        <v>#VALUE!</v>
      </c>
      <c r="S125" s="262" t="e">
        <f>E125/invulblad!M$59</f>
        <v>#VALUE!</v>
      </c>
      <c r="T125" s="262" t="e">
        <f>F125/invulblad!N$59</f>
        <v>#VALUE!</v>
      </c>
      <c r="U125" s="262" t="e">
        <f>G125/invulblad!O$59</f>
        <v>#VALUE!</v>
      </c>
      <c r="V125" s="262" t="e">
        <f>H125/invulblad!P$59</f>
        <v>#VALUE!</v>
      </c>
      <c r="W125" s="262" t="e">
        <f>I125/invulblad!Q$59</f>
        <v>#VALUE!</v>
      </c>
      <c r="X125" s="262" t="e">
        <f>J125/invulblad!R$59</f>
        <v>#VALUE!</v>
      </c>
      <c r="Y125" s="262" t="e">
        <f>K125/invulblad!S$59</f>
        <v>#VALUE!</v>
      </c>
      <c r="Z125" s="262" t="e">
        <f>L125/invulblad!T$59</f>
        <v>#VALUE!</v>
      </c>
      <c r="AA125" s="262" t="e">
        <f>M125/invulblad!U$59</f>
        <v>#VALUE!</v>
      </c>
      <c r="AB125" s="262" t="e">
        <f>N125/invulblad!V$59</f>
        <v>#VALUE!</v>
      </c>
    </row>
    <row r="126" spans="1:28" x14ac:dyDescent="0.2">
      <c r="A126" s="93">
        <v>18</v>
      </c>
      <c r="B126" s="91" t="str">
        <f t="shared" si="12"/>
        <v>overige bron4</v>
      </c>
      <c r="C126" s="94">
        <f t="shared" ref="C126:N126" si="31">IFERROR(C148,0)+IFERROR(C170,0)+IFERROR(C192,0)</f>
        <v>0</v>
      </c>
      <c r="D126" s="94">
        <f t="shared" si="31"/>
        <v>0</v>
      </c>
      <c r="E126" s="94">
        <f t="shared" si="31"/>
        <v>0</v>
      </c>
      <c r="F126" s="94">
        <f t="shared" si="31"/>
        <v>0</v>
      </c>
      <c r="G126" s="94">
        <f t="shared" si="31"/>
        <v>0</v>
      </c>
      <c r="H126" s="94">
        <f t="shared" si="31"/>
        <v>0</v>
      </c>
      <c r="I126" s="94">
        <f t="shared" si="31"/>
        <v>0</v>
      </c>
      <c r="J126" s="94">
        <f t="shared" si="31"/>
        <v>0</v>
      </c>
      <c r="K126" s="94">
        <f t="shared" si="31"/>
        <v>0</v>
      </c>
      <c r="L126" s="94">
        <f t="shared" si="31"/>
        <v>0</v>
      </c>
      <c r="M126" s="94">
        <f t="shared" si="31"/>
        <v>0</v>
      </c>
      <c r="N126" s="94">
        <f t="shared" si="31"/>
        <v>0</v>
      </c>
      <c r="P126" s="93" t="str">
        <f t="shared" si="16"/>
        <v>overige bron4</v>
      </c>
      <c r="Q126" s="262">
        <f>C126/invulblad!K$59</f>
        <v>0</v>
      </c>
      <c r="R126" s="262" t="e">
        <f>D126/invulblad!L$59</f>
        <v>#VALUE!</v>
      </c>
      <c r="S126" s="262" t="e">
        <f>E126/invulblad!M$59</f>
        <v>#VALUE!</v>
      </c>
      <c r="T126" s="262" t="e">
        <f>F126/invulblad!N$59</f>
        <v>#VALUE!</v>
      </c>
      <c r="U126" s="262" t="e">
        <f>G126/invulblad!O$59</f>
        <v>#VALUE!</v>
      </c>
      <c r="V126" s="262" t="e">
        <f>H126/invulblad!P$59</f>
        <v>#VALUE!</v>
      </c>
      <c r="W126" s="262" t="e">
        <f>I126/invulblad!Q$59</f>
        <v>#VALUE!</v>
      </c>
      <c r="X126" s="262" t="e">
        <f>J126/invulblad!R$59</f>
        <v>#VALUE!</v>
      </c>
      <c r="Y126" s="262" t="e">
        <f>K126/invulblad!S$59</f>
        <v>#VALUE!</v>
      </c>
      <c r="Z126" s="262" t="e">
        <f>L126/invulblad!T$59</f>
        <v>#VALUE!</v>
      </c>
      <c r="AA126" s="262" t="e">
        <f>M126/invulblad!U$59</f>
        <v>#VALUE!</v>
      </c>
      <c r="AB126" s="262" t="e">
        <f>N126/invulblad!V$59</f>
        <v>#VALUE!</v>
      </c>
    </row>
    <row r="127" spans="1:28" x14ac:dyDescent="0.2">
      <c r="A127" s="93"/>
      <c r="B127" s="91"/>
      <c r="C127" s="94"/>
      <c r="D127" s="94"/>
      <c r="E127" s="94"/>
      <c r="F127" s="94"/>
      <c r="G127" s="94"/>
      <c r="H127" s="94"/>
      <c r="I127" s="94"/>
      <c r="J127" s="94"/>
      <c r="K127" s="94"/>
      <c r="L127" s="94"/>
      <c r="M127" s="94"/>
      <c r="N127" s="94"/>
      <c r="P127" s="93"/>
      <c r="Q127" s="262"/>
      <c r="R127" s="262"/>
      <c r="S127" s="262"/>
      <c r="T127" s="262"/>
      <c r="U127" s="262"/>
      <c r="V127" s="262"/>
      <c r="W127" s="262"/>
      <c r="X127" s="262"/>
      <c r="Y127" s="262"/>
      <c r="Z127" s="262"/>
      <c r="AA127" s="262"/>
      <c r="AB127" s="262"/>
    </row>
    <row r="128" spans="1:28" x14ac:dyDescent="0.2">
      <c r="A128" s="93">
        <v>20</v>
      </c>
      <c r="B128" s="91" t="str">
        <f t="shared" si="12"/>
        <v>totaal</v>
      </c>
      <c r="C128" s="94">
        <f t="shared" ref="C128:N128" si="32">IFERROR(C150,0)+IFERROR(C172,0)+IFERROR(C194,0)</f>
        <v>2502.912191780822</v>
      </c>
      <c r="D128" s="94">
        <f t="shared" si="32"/>
        <v>0</v>
      </c>
      <c r="E128" s="94">
        <f t="shared" si="32"/>
        <v>0</v>
      </c>
      <c r="F128" s="94">
        <f t="shared" si="32"/>
        <v>0</v>
      </c>
      <c r="G128" s="94">
        <f t="shared" si="32"/>
        <v>0</v>
      </c>
      <c r="H128" s="94">
        <f t="shared" si="32"/>
        <v>0</v>
      </c>
      <c r="I128" s="94">
        <f t="shared" si="32"/>
        <v>0</v>
      </c>
      <c r="J128" s="94">
        <f t="shared" si="32"/>
        <v>0</v>
      </c>
      <c r="K128" s="94">
        <f t="shared" si="32"/>
        <v>0</v>
      </c>
      <c r="L128" s="94">
        <f t="shared" si="32"/>
        <v>0</v>
      </c>
      <c r="M128" s="94">
        <f t="shared" si="32"/>
        <v>0</v>
      </c>
      <c r="N128" s="94">
        <f t="shared" si="32"/>
        <v>0</v>
      </c>
      <c r="P128" s="93" t="str">
        <f t="shared" ref="P128" si="33">B128</f>
        <v>totaal</v>
      </c>
      <c r="Q128" s="262">
        <f>C128/invulblad!K$59</f>
        <v>1.5643201198630137</v>
      </c>
      <c r="R128" s="262" t="e">
        <f>D128/invulblad!L$59</f>
        <v>#VALUE!</v>
      </c>
      <c r="S128" s="262" t="e">
        <f>E128/invulblad!M$59</f>
        <v>#VALUE!</v>
      </c>
      <c r="T128" s="262" t="e">
        <f>F128/invulblad!N$59</f>
        <v>#VALUE!</v>
      </c>
      <c r="U128" s="262" t="e">
        <f>G128/invulblad!O$59</f>
        <v>#VALUE!</v>
      </c>
      <c r="V128" s="262" t="e">
        <f>H128/invulblad!P$59</f>
        <v>#VALUE!</v>
      </c>
      <c r="W128" s="262" t="e">
        <f>I128/invulblad!Q$59</f>
        <v>#VALUE!</v>
      </c>
      <c r="X128" s="262" t="e">
        <f>J128/invulblad!R$59</f>
        <v>#VALUE!</v>
      </c>
      <c r="Y128" s="262" t="e">
        <f>K128/invulblad!S$59</f>
        <v>#VALUE!</v>
      </c>
      <c r="Z128" s="262" t="e">
        <f>L128/invulblad!T$59</f>
        <v>#VALUE!</v>
      </c>
      <c r="AA128" s="262" t="e">
        <f>M128/invulblad!U$59</f>
        <v>#VALUE!</v>
      </c>
      <c r="AB128" s="262" t="e">
        <f>N128/invulblad!V$59</f>
        <v>#VALUE!</v>
      </c>
    </row>
    <row r="130" spans="1:28" s="96" customFormat="1" ht="27" x14ac:dyDescent="0.25">
      <c r="A130" s="90"/>
      <c r="B130" s="91" t="s">
        <v>176</v>
      </c>
      <c r="C130" s="92" t="str">
        <f>invulblad!K11</f>
        <v>Voorbeeld</v>
      </c>
      <c r="D130" s="92" t="str">
        <f>invulblad!L11</f>
        <v>water_2</v>
      </c>
      <c r="E130" s="92" t="str">
        <f>invulblad!M11</f>
        <v>water_3</v>
      </c>
      <c r="F130" s="92" t="str">
        <f>invulblad!N11</f>
        <v>water_4</v>
      </c>
      <c r="G130" s="92" t="str">
        <f>invulblad!O11</f>
        <v>water_5</v>
      </c>
      <c r="H130" s="92" t="str">
        <f>invulblad!P11</f>
        <v>water_6</v>
      </c>
      <c r="I130" s="92" t="str">
        <f>invulblad!Q11</f>
        <v>water_7</v>
      </c>
      <c r="J130" s="92" t="str">
        <f>invulblad!R11</f>
        <v>water_8</v>
      </c>
      <c r="K130" s="92" t="str">
        <f>invulblad!S11</f>
        <v>water_9</v>
      </c>
      <c r="L130" s="92" t="str">
        <f>invulblad!T11</f>
        <v>water_10</v>
      </c>
      <c r="M130" s="92" t="str">
        <f>invulblad!U11</f>
        <v>water_11</v>
      </c>
      <c r="N130" s="92" t="str">
        <f>invulblad!V11</f>
        <v>water_12</v>
      </c>
      <c r="P130" s="91" t="s">
        <v>180</v>
      </c>
      <c r="Q130" s="92" t="str">
        <f>C130</f>
        <v>Voorbeeld</v>
      </c>
      <c r="R130" s="92" t="str">
        <f t="shared" ref="R130:AB130" si="34">D130</f>
        <v>water_2</v>
      </c>
      <c r="S130" s="92" t="str">
        <f t="shared" si="34"/>
        <v>water_3</v>
      </c>
      <c r="T130" s="92" t="str">
        <f t="shared" si="34"/>
        <v>water_4</v>
      </c>
      <c r="U130" s="92" t="str">
        <f t="shared" si="34"/>
        <v>water_5</v>
      </c>
      <c r="V130" s="92" t="str">
        <f t="shared" si="34"/>
        <v>water_6</v>
      </c>
      <c r="W130" s="92" t="str">
        <f t="shared" si="34"/>
        <v>water_7</v>
      </c>
      <c r="X130" s="92" t="str">
        <f t="shared" si="34"/>
        <v>water_8</v>
      </c>
      <c r="Y130" s="92" t="str">
        <f t="shared" si="34"/>
        <v>water_9</v>
      </c>
      <c r="Z130" s="92" t="str">
        <f t="shared" si="34"/>
        <v>water_10</v>
      </c>
      <c r="AA130" s="92" t="str">
        <f t="shared" si="34"/>
        <v>water_11</v>
      </c>
      <c r="AB130" s="92" t="str">
        <f t="shared" si="34"/>
        <v>water_12</v>
      </c>
    </row>
    <row r="131" spans="1:28" x14ac:dyDescent="0.2">
      <c r="A131" s="93">
        <v>1</v>
      </c>
      <c r="B131" s="93" t="str">
        <f>(invulblad!D12)</f>
        <v>overstort gemengd stelsel</v>
      </c>
      <c r="C131" s="94">
        <f>invulblad!$G12*invulblad!K12</f>
        <v>1000</v>
      </c>
      <c r="D131" s="94">
        <f>invulblad!$G12*invulblad!L12</f>
        <v>0</v>
      </c>
      <c r="E131" s="94">
        <f>invulblad!$G12*invulblad!M12</f>
        <v>0</v>
      </c>
      <c r="F131" s="94">
        <f>invulblad!$G12*invulblad!N12</f>
        <v>0</v>
      </c>
      <c r="G131" s="94">
        <f>invulblad!$G12*invulblad!O12</f>
        <v>0</v>
      </c>
      <c r="H131" s="94">
        <f>invulblad!$G12*invulblad!P12</f>
        <v>0</v>
      </c>
      <c r="I131" s="94">
        <f>invulblad!$G12*invulblad!Q12</f>
        <v>0</v>
      </c>
      <c r="J131" s="94">
        <f>invulblad!$G12*invulblad!R12</f>
        <v>0</v>
      </c>
      <c r="K131" s="94">
        <f>invulblad!$G12*invulblad!S12</f>
        <v>0</v>
      </c>
      <c r="L131" s="94">
        <f>invulblad!$G12*invulblad!T12</f>
        <v>0</v>
      </c>
      <c r="M131" s="94">
        <f>invulblad!$G12*invulblad!U12</f>
        <v>0</v>
      </c>
      <c r="N131" s="94">
        <f>invulblad!$G12*invulblad!V12</f>
        <v>0</v>
      </c>
      <c r="P131" s="93" t="str">
        <f>B131</f>
        <v>overstort gemengd stelsel</v>
      </c>
      <c r="Q131" s="262">
        <f>C131/invulblad!K$59</f>
        <v>0.625</v>
      </c>
      <c r="R131" s="262" t="e">
        <f>D131/invulblad!L$59</f>
        <v>#VALUE!</v>
      </c>
      <c r="S131" s="262" t="e">
        <f>E131/invulblad!M$59</f>
        <v>#VALUE!</v>
      </c>
      <c r="T131" s="262" t="e">
        <f>F131/invulblad!N$59</f>
        <v>#VALUE!</v>
      </c>
      <c r="U131" s="262" t="e">
        <f>G131/invulblad!O$59</f>
        <v>#VALUE!</v>
      </c>
      <c r="V131" s="262" t="e">
        <f>H131/invulblad!P$59</f>
        <v>#VALUE!</v>
      </c>
      <c r="W131" s="262" t="e">
        <f>I131/invulblad!Q$59</f>
        <v>#VALUE!</v>
      </c>
      <c r="X131" s="262" t="e">
        <f>J131/invulblad!R$59</f>
        <v>#VALUE!</v>
      </c>
      <c r="Y131" s="262" t="e">
        <f>K131/invulblad!S$59</f>
        <v>#VALUE!</v>
      </c>
      <c r="Z131" s="262" t="e">
        <f>L131/invulblad!T$59</f>
        <v>#VALUE!</v>
      </c>
      <c r="AA131" s="262" t="e">
        <f>M131/invulblad!U$59</f>
        <v>#VALUE!</v>
      </c>
      <c r="AB131" s="262" t="e">
        <f>N131/invulblad!V$59</f>
        <v>#VALUE!</v>
      </c>
    </row>
    <row r="132" spans="1:28" x14ac:dyDescent="0.2">
      <c r="A132" s="93">
        <v>2</v>
      </c>
      <c r="B132" s="93" t="str">
        <f>(invulblad!D14)</f>
        <v>overstort gemengd stelsel+BB-basin</v>
      </c>
      <c r="C132" s="94">
        <f>invulblad!$G14*invulblad!K14</f>
        <v>0</v>
      </c>
      <c r="D132" s="94">
        <f>invulblad!$G14*invulblad!L14</f>
        <v>0</v>
      </c>
      <c r="E132" s="94">
        <f>invulblad!$G14*invulblad!M14</f>
        <v>0</v>
      </c>
      <c r="F132" s="94">
        <f>invulblad!$G14*invulblad!N14</f>
        <v>0</v>
      </c>
      <c r="G132" s="94">
        <f>invulblad!$G14*invulblad!O14</f>
        <v>0</v>
      </c>
      <c r="H132" s="94">
        <f>invulblad!$G14*invulblad!P14</f>
        <v>0</v>
      </c>
      <c r="I132" s="94">
        <f>invulblad!$G14*invulblad!Q14</f>
        <v>0</v>
      </c>
      <c r="J132" s="94">
        <f>invulblad!$G14*invulblad!R14</f>
        <v>0</v>
      </c>
      <c r="K132" s="94">
        <f>invulblad!$G14*invulblad!S14</f>
        <v>0</v>
      </c>
      <c r="L132" s="94">
        <f>invulblad!$G14*invulblad!T14</f>
        <v>0</v>
      </c>
      <c r="M132" s="94">
        <f>invulblad!$G14*invulblad!U14</f>
        <v>0</v>
      </c>
      <c r="N132" s="94">
        <f>invulblad!$G14*invulblad!V14</f>
        <v>0</v>
      </c>
      <c r="P132" s="93" t="str">
        <f>B132</f>
        <v>overstort gemengd stelsel+BB-basin</v>
      </c>
      <c r="Q132" s="262">
        <f>C132/invulblad!K$59</f>
        <v>0</v>
      </c>
      <c r="R132" s="262" t="e">
        <f>D132/invulblad!L$59</f>
        <v>#VALUE!</v>
      </c>
      <c r="S132" s="262" t="e">
        <f>E132/invulblad!M$59</f>
        <v>#VALUE!</v>
      </c>
      <c r="T132" s="262" t="e">
        <f>F132/invulblad!N$59</f>
        <v>#VALUE!</v>
      </c>
      <c r="U132" s="262" t="e">
        <f>G132/invulblad!O$59</f>
        <v>#VALUE!</v>
      </c>
      <c r="V132" s="262" t="e">
        <f>H132/invulblad!P$59</f>
        <v>#VALUE!</v>
      </c>
      <c r="W132" s="262" t="e">
        <f>I132/invulblad!Q$59</f>
        <v>#VALUE!</v>
      </c>
      <c r="X132" s="262" t="e">
        <f>J132/invulblad!R$59</f>
        <v>#VALUE!</v>
      </c>
      <c r="Y132" s="262" t="e">
        <f>K132/invulblad!S$59</f>
        <v>#VALUE!</v>
      </c>
      <c r="Z132" s="262" t="e">
        <f>L132/invulblad!T$59</f>
        <v>#VALUE!</v>
      </c>
      <c r="AA132" s="262" t="e">
        <f>M132/invulblad!U$59</f>
        <v>#VALUE!</v>
      </c>
      <c r="AB132" s="262" t="e">
        <f>N132/invulblad!V$59</f>
        <v>#VALUE!</v>
      </c>
    </row>
    <row r="133" spans="1:28" x14ac:dyDescent="0.2">
      <c r="A133" s="93">
        <v>3</v>
      </c>
      <c r="B133" s="93" t="str">
        <f>(invulblad!D16)</f>
        <v>DWA-nooduitlaat</v>
      </c>
      <c r="C133" s="94">
        <f>invulblad!$G16*invulblad!K16</f>
        <v>0</v>
      </c>
      <c r="D133" s="94">
        <f>invulblad!$G16*invulblad!L16</f>
        <v>0</v>
      </c>
      <c r="E133" s="94">
        <f>invulblad!$G16*invulblad!M16</f>
        <v>0</v>
      </c>
      <c r="F133" s="94">
        <f>invulblad!$G16*invulblad!N16</f>
        <v>0</v>
      </c>
      <c r="G133" s="94">
        <f>invulblad!$G16*invulblad!O16</f>
        <v>0</v>
      </c>
      <c r="H133" s="94">
        <f>invulblad!$G16*invulblad!P16</f>
        <v>0</v>
      </c>
      <c r="I133" s="94">
        <f>invulblad!$G16*invulblad!Q16</f>
        <v>0</v>
      </c>
      <c r="J133" s="94">
        <f>invulblad!$G16*invulblad!R16</f>
        <v>0</v>
      </c>
      <c r="K133" s="94">
        <f>invulblad!$G16*invulblad!S16</f>
        <v>0</v>
      </c>
      <c r="L133" s="94">
        <f>invulblad!$G16*invulblad!T16</f>
        <v>0</v>
      </c>
      <c r="M133" s="94">
        <f>invulblad!$G16*invulblad!U16</f>
        <v>0</v>
      </c>
      <c r="N133" s="94">
        <f>invulblad!$G16*invulblad!V16</f>
        <v>0</v>
      </c>
      <c r="P133" s="93" t="str">
        <f t="shared" ref="P133:P148" si="35">B133</f>
        <v>DWA-nooduitlaat</v>
      </c>
      <c r="Q133" s="262">
        <f>C133/invulblad!K$59</f>
        <v>0</v>
      </c>
      <c r="R133" s="262" t="e">
        <f>D133/invulblad!L$59</f>
        <v>#VALUE!</v>
      </c>
      <c r="S133" s="262" t="e">
        <f>E133/invulblad!M$59</f>
        <v>#VALUE!</v>
      </c>
      <c r="T133" s="262" t="e">
        <f>F133/invulblad!N$59</f>
        <v>#VALUE!</v>
      </c>
      <c r="U133" s="262" t="e">
        <f>G133/invulblad!O$59</f>
        <v>#VALUE!</v>
      </c>
      <c r="V133" s="262" t="e">
        <f>H133/invulblad!P$59</f>
        <v>#VALUE!</v>
      </c>
      <c r="W133" s="262" t="e">
        <f>I133/invulblad!Q$59</f>
        <v>#VALUE!</v>
      </c>
      <c r="X133" s="262" t="e">
        <f>J133/invulblad!R$59</f>
        <v>#VALUE!</v>
      </c>
      <c r="Y133" s="262" t="e">
        <f>K133/invulblad!S$59</f>
        <v>#VALUE!</v>
      </c>
      <c r="Z133" s="262" t="e">
        <f>L133/invulblad!T$59</f>
        <v>#VALUE!</v>
      </c>
      <c r="AA133" s="262" t="e">
        <f>M133/invulblad!U$59</f>
        <v>#VALUE!</v>
      </c>
      <c r="AB133" s="262" t="e">
        <f>N133/invulblad!V$59</f>
        <v>#VALUE!</v>
      </c>
    </row>
    <row r="134" spans="1:28" x14ac:dyDescent="0.2">
      <c r="A134" s="93">
        <v>4</v>
      </c>
      <c r="B134" s="93" t="str">
        <f>(invulblad!D20)</f>
        <v>RWZI effluent</v>
      </c>
      <c r="C134" s="94">
        <f>invulblad!$G20*invulblad!K20</f>
        <v>0</v>
      </c>
      <c r="D134" s="94">
        <f>invulblad!$G20*invulblad!L20</f>
        <v>0</v>
      </c>
      <c r="E134" s="94">
        <f>invulblad!$G20*invulblad!M20</f>
        <v>0</v>
      </c>
      <c r="F134" s="94">
        <f>invulblad!$G20*invulblad!N20</f>
        <v>0</v>
      </c>
      <c r="G134" s="94">
        <f>invulblad!$G20*invulblad!O20</f>
        <v>0</v>
      </c>
      <c r="H134" s="94">
        <f>invulblad!$G20*invulblad!P20</f>
        <v>0</v>
      </c>
      <c r="I134" s="94">
        <f>invulblad!$G20*invulblad!Q20</f>
        <v>0</v>
      </c>
      <c r="J134" s="94">
        <f>invulblad!$G20*invulblad!R20</f>
        <v>0</v>
      </c>
      <c r="K134" s="94">
        <f>invulblad!$G20*invulblad!S20</f>
        <v>0</v>
      </c>
      <c r="L134" s="94">
        <f>invulblad!$G20*invulblad!T20</f>
        <v>0</v>
      </c>
      <c r="M134" s="94">
        <f>invulblad!$G20*invulblad!U20</f>
        <v>0</v>
      </c>
      <c r="N134" s="94">
        <f>invulblad!$G20*invulblad!V20</f>
        <v>0</v>
      </c>
      <c r="P134" s="93" t="str">
        <f t="shared" si="35"/>
        <v>RWZI effluent</v>
      </c>
      <c r="Q134" s="262">
        <f>C134/invulblad!K$59</f>
        <v>0</v>
      </c>
      <c r="R134" s="262" t="e">
        <f>D134/invulblad!L$59</f>
        <v>#VALUE!</v>
      </c>
      <c r="S134" s="262" t="e">
        <f>E134/invulblad!M$59</f>
        <v>#VALUE!</v>
      </c>
      <c r="T134" s="262" t="e">
        <f>F134/invulblad!N$59</f>
        <v>#VALUE!</v>
      </c>
      <c r="U134" s="262" t="e">
        <f>G134/invulblad!O$59</f>
        <v>#VALUE!</v>
      </c>
      <c r="V134" s="262" t="e">
        <f>H134/invulblad!P$59</f>
        <v>#VALUE!</v>
      </c>
      <c r="W134" s="262" t="e">
        <f>I134/invulblad!Q$59</f>
        <v>#VALUE!</v>
      </c>
      <c r="X134" s="262" t="e">
        <f>J134/invulblad!R$59</f>
        <v>#VALUE!</v>
      </c>
      <c r="Y134" s="262" t="e">
        <f>K134/invulblad!S$59</f>
        <v>#VALUE!</v>
      </c>
      <c r="Z134" s="262" t="e">
        <f>L134/invulblad!T$59</f>
        <v>#VALUE!</v>
      </c>
      <c r="AA134" s="262" t="e">
        <f>M134/invulblad!U$59</f>
        <v>#VALUE!</v>
      </c>
      <c r="AB134" s="262" t="e">
        <f>N134/invulblad!V$59</f>
        <v>#VALUE!</v>
      </c>
    </row>
    <row r="135" spans="1:28" x14ac:dyDescent="0.2">
      <c r="A135" s="93">
        <v>5</v>
      </c>
      <c r="B135" s="93" t="str">
        <f>(invulblad!D21)</f>
        <v>hemelwaterafvoer</v>
      </c>
      <c r="C135" s="94">
        <f>invulblad!$G21*invulblad!K21</f>
        <v>0</v>
      </c>
      <c r="D135" s="94">
        <f>invulblad!$G21*invulblad!L21</f>
        <v>0</v>
      </c>
      <c r="E135" s="94">
        <f>invulblad!$G21*invulblad!M21</f>
        <v>0</v>
      </c>
      <c r="F135" s="94">
        <f>invulblad!$G21*invulblad!N21</f>
        <v>0</v>
      </c>
      <c r="G135" s="94">
        <f>invulblad!$G21*invulblad!O21</f>
        <v>0</v>
      </c>
      <c r="H135" s="94">
        <f>invulblad!$G21*invulblad!P21</f>
        <v>0</v>
      </c>
      <c r="I135" s="94">
        <f>invulblad!$G21*invulblad!Q21</f>
        <v>0</v>
      </c>
      <c r="J135" s="94">
        <f>invulblad!$G21*invulblad!R21</f>
        <v>0</v>
      </c>
      <c r="K135" s="94">
        <f>invulblad!$G21*invulblad!S21</f>
        <v>0</v>
      </c>
      <c r="L135" s="94">
        <f>invulblad!$G21*invulblad!T21</f>
        <v>0</v>
      </c>
      <c r="M135" s="94">
        <f>invulblad!$G21*invulblad!U21</f>
        <v>0</v>
      </c>
      <c r="N135" s="94">
        <f>invulblad!$G21*invulblad!V21</f>
        <v>0</v>
      </c>
      <c r="P135" s="93" t="str">
        <f t="shared" si="35"/>
        <v>hemelwaterafvoer</v>
      </c>
      <c r="Q135" s="262">
        <f>C135/invulblad!K$59</f>
        <v>0</v>
      </c>
      <c r="R135" s="262" t="e">
        <f>D135/invulblad!L$59</f>
        <v>#VALUE!</v>
      </c>
      <c r="S135" s="262" t="e">
        <f>E135/invulblad!M$59</f>
        <v>#VALUE!</v>
      </c>
      <c r="T135" s="262" t="e">
        <f>F135/invulblad!N$59</f>
        <v>#VALUE!</v>
      </c>
      <c r="U135" s="262" t="e">
        <f>G135/invulblad!O$59</f>
        <v>#VALUE!</v>
      </c>
      <c r="V135" s="262" t="e">
        <f>H135/invulblad!P$59</f>
        <v>#VALUE!</v>
      </c>
      <c r="W135" s="262" t="e">
        <f>I135/invulblad!Q$59</f>
        <v>#VALUE!</v>
      </c>
      <c r="X135" s="262" t="e">
        <f>J135/invulblad!R$59</f>
        <v>#VALUE!</v>
      </c>
      <c r="Y135" s="262" t="e">
        <f>K135/invulblad!S$59</f>
        <v>#VALUE!</v>
      </c>
      <c r="Z135" s="262" t="e">
        <f>L135/invulblad!T$59</f>
        <v>#VALUE!</v>
      </c>
      <c r="AA135" s="262" t="e">
        <f>M135/invulblad!U$59</f>
        <v>#VALUE!</v>
      </c>
      <c r="AB135" s="262" t="e">
        <f>N135/invulblad!V$59</f>
        <v>#VALUE!</v>
      </c>
    </row>
    <row r="136" spans="1:28" x14ac:dyDescent="0.2">
      <c r="A136" s="93">
        <v>6</v>
      </c>
      <c r="B136" s="93" t="str">
        <f>(invulblad!D22)</f>
        <v>septic tanks</v>
      </c>
      <c r="C136" s="94">
        <f>invulblad!$G22*invulblad!K22</f>
        <v>0</v>
      </c>
      <c r="D136" s="94">
        <f>invulblad!$G22*invulblad!L22</f>
        <v>0</v>
      </c>
      <c r="E136" s="94">
        <f>invulblad!$G22*invulblad!M22</f>
        <v>0</v>
      </c>
      <c r="F136" s="94">
        <f>invulblad!$G22*invulblad!N22</f>
        <v>0</v>
      </c>
      <c r="G136" s="94">
        <f>invulblad!$G22*invulblad!O22</f>
        <v>0</v>
      </c>
      <c r="H136" s="94">
        <f>invulblad!$G22*invulblad!P22</f>
        <v>0</v>
      </c>
      <c r="I136" s="94">
        <f>invulblad!$G22*invulblad!Q22</f>
        <v>0</v>
      </c>
      <c r="J136" s="94">
        <f>invulblad!$G22*invulblad!R22</f>
        <v>0</v>
      </c>
      <c r="K136" s="94">
        <f>invulblad!$G22*invulblad!S22</f>
        <v>0</v>
      </c>
      <c r="L136" s="94">
        <f>invulblad!$G22*invulblad!T22</f>
        <v>0</v>
      </c>
      <c r="M136" s="94">
        <f>invulblad!$G22*invulblad!U22</f>
        <v>0</v>
      </c>
      <c r="N136" s="94">
        <f>invulblad!$G22*invulblad!V22</f>
        <v>0</v>
      </c>
      <c r="P136" s="93" t="str">
        <f t="shared" si="35"/>
        <v>septic tanks</v>
      </c>
      <c r="Q136" s="262">
        <f>C136/invulblad!K$59</f>
        <v>0</v>
      </c>
      <c r="R136" s="262" t="e">
        <f>D136/invulblad!L$59</f>
        <v>#VALUE!</v>
      </c>
      <c r="S136" s="262" t="e">
        <f>E136/invulblad!M$59</f>
        <v>#VALUE!</v>
      </c>
      <c r="T136" s="262" t="e">
        <f>F136/invulblad!N$59</f>
        <v>#VALUE!</v>
      </c>
      <c r="U136" s="262" t="e">
        <f>G136/invulblad!O$59</f>
        <v>#VALUE!</v>
      </c>
      <c r="V136" s="262" t="e">
        <f>H136/invulblad!P$59</f>
        <v>#VALUE!</v>
      </c>
      <c r="W136" s="262" t="e">
        <f>I136/invulblad!Q$59</f>
        <v>#VALUE!</v>
      </c>
      <c r="X136" s="262" t="e">
        <f>J136/invulblad!R$59</f>
        <v>#VALUE!</v>
      </c>
      <c r="Y136" s="262" t="e">
        <f>K136/invulblad!S$59</f>
        <v>#VALUE!</v>
      </c>
      <c r="Z136" s="262" t="e">
        <f>L136/invulblad!T$59</f>
        <v>#VALUE!</v>
      </c>
      <c r="AA136" s="262" t="e">
        <f>M136/invulblad!U$59</f>
        <v>#VALUE!</v>
      </c>
      <c r="AB136" s="262" t="e">
        <f>N136/invulblad!V$59</f>
        <v>#VALUE!</v>
      </c>
    </row>
    <row r="137" spans="1:28" x14ac:dyDescent="0.2">
      <c r="A137" s="93">
        <v>7</v>
      </c>
      <c r="B137" s="93" t="str">
        <f>(invulblad!D23)</f>
        <v>IBA's</v>
      </c>
      <c r="C137" s="94">
        <f>invulblad!$G23*invulblad!K23</f>
        <v>23</v>
      </c>
      <c r="D137" s="94">
        <f>invulblad!$G23*invulblad!L23</f>
        <v>0</v>
      </c>
      <c r="E137" s="94">
        <f>invulblad!$G23*invulblad!M23</f>
        <v>0</v>
      </c>
      <c r="F137" s="94">
        <f>invulblad!$G23*invulblad!N23</f>
        <v>0</v>
      </c>
      <c r="G137" s="94">
        <f>invulblad!$G23*invulblad!O23</f>
        <v>0</v>
      </c>
      <c r="H137" s="94">
        <f>invulblad!$G23*invulblad!P23</f>
        <v>0</v>
      </c>
      <c r="I137" s="94">
        <f>invulblad!$G23*invulblad!Q23</f>
        <v>0</v>
      </c>
      <c r="J137" s="94">
        <f>invulblad!$G23*invulblad!R23</f>
        <v>0</v>
      </c>
      <c r="K137" s="94">
        <f>invulblad!$G23*invulblad!S23</f>
        <v>0</v>
      </c>
      <c r="L137" s="94">
        <f>invulblad!$G23*invulblad!T23</f>
        <v>0</v>
      </c>
      <c r="M137" s="94">
        <f>invulblad!$G23*invulblad!U23</f>
        <v>0</v>
      </c>
      <c r="N137" s="94">
        <f>invulblad!$G23*invulblad!V23</f>
        <v>0</v>
      </c>
      <c r="P137" s="93" t="str">
        <f t="shared" si="35"/>
        <v>IBA's</v>
      </c>
      <c r="Q137" s="262">
        <f>C137/invulblad!K$59</f>
        <v>1.4375000000000001E-2</v>
      </c>
      <c r="R137" s="262" t="e">
        <f>D137/invulblad!L$59</f>
        <v>#VALUE!</v>
      </c>
      <c r="S137" s="262" t="e">
        <f>E137/invulblad!M$59</f>
        <v>#VALUE!</v>
      </c>
      <c r="T137" s="262" t="e">
        <f>F137/invulblad!N$59</f>
        <v>#VALUE!</v>
      </c>
      <c r="U137" s="262" t="e">
        <f>G137/invulblad!O$59</f>
        <v>#VALUE!</v>
      </c>
      <c r="V137" s="262" t="e">
        <f>H137/invulblad!P$59</f>
        <v>#VALUE!</v>
      </c>
      <c r="W137" s="262" t="e">
        <f>I137/invulblad!Q$59</f>
        <v>#VALUE!</v>
      </c>
      <c r="X137" s="262" t="e">
        <f>J137/invulblad!R$59</f>
        <v>#VALUE!</v>
      </c>
      <c r="Y137" s="262" t="e">
        <f>K137/invulblad!S$59</f>
        <v>#VALUE!</v>
      </c>
      <c r="Z137" s="262" t="e">
        <f>L137/invulblad!T$59</f>
        <v>#VALUE!</v>
      </c>
      <c r="AA137" s="262" t="e">
        <f>M137/invulblad!U$59</f>
        <v>#VALUE!</v>
      </c>
      <c r="AB137" s="262" t="e">
        <f>N137/invulblad!V$59</f>
        <v>#VALUE!</v>
      </c>
    </row>
    <row r="138" spans="1:28" x14ac:dyDescent="0.2">
      <c r="A138" s="93">
        <v>8</v>
      </c>
      <c r="B138" s="93" t="str">
        <f>(invulblad!D24)</f>
        <v>bladval loofbomen</v>
      </c>
      <c r="C138" s="94">
        <f>invulblad!$G24*invulblad!K24</f>
        <v>0</v>
      </c>
      <c r="D138" s="94">
        <f>invulblad!$G24*invulblad!L24</f>
        <v>0</v>
      </c>
      <c r="E138" s="94">
        <f>invulblad!$G24*invulblad!M24</f>
        <v>0</v>
      </c>
      <c r="F138" s="94">
        <f>invulblad!$G24*invulblad!N24</f>
        <v>0</v>
      </c>
      <c r="G138" s="94">
        <f>invulblad!$G24*invulblad!O24</f>
        <v>0</v>
      </c>
      <c r="H138" s="94">
        <f>invulblad!$G24*invulblad!P24</f>
        <v>0</v>
      </c>
      <c r="I138" s="94">
        <f>invulblad!$G24*invulblad!Q24</f>
        <v>0</v>
      </c>
      <c r="J138" s="94">
        <f>invulblad!$G24*invulblad!R24</f>
        <v>0</v>
      </c>
      <c r="K138" s="94">
        <f>invulblad!$G24*invulblad!S24</f>
        <v>0</v>
      </c>
      <c r="L138" s="94">
        <f>invulblad!$G24*invulblad!T24</f>
        <v>0</v>
      </c>
      <c r="M138" s="94">
        <f>invulblad!$G24*invulblad!U24</f>
        <v>0</v>
      </c>
      <c r="N138" s="94">
        <f>invulblad!$G24*invulblad!V24</f>
        <v>0</v>
      </c>
      <c r="P138" s="93" t="str">
        <f t="shared" si="35"/>
        <v>bladval loofbomen</v>
      </c>
      <c r="Q138" s="262">
        <f>C138/invulblad!K$59</f>
        <v>0</v>
      </c>
      <c r="R138" s="262" t="e">
        <f>D138/invulblad!L$59</f>
        <v>#VALUE!</v>
      </c>
      <c r="S138" s="262" t="e">
        <f>E138/invulblad!M$59</f>
        <v>#VALUE!</v>
      </c>
      <c r="T138" s="262" t="e">
        <f>F138/invulblad!N$59</f>
        <v>#VALUE!</v>
      </c>
      <c r="U138" s="262" t="e">
        <f>G138/invulblad!O$59</f>
        <v>#VALUE!</v>
      </c>
      <c r="V138" s="262" t="e">
        <f>H138/invulblad!P$59</f>
        <v>#VALUE!</v>
      </c>
      <c r="W138" s="262" t="e">
        <f>I138/invulblad!Q$59</f>
        <v>#VALUE!</v>
      </c>
      <c r="X138" s="262" t="e">
        <f>J138/invulblad!R$59</f>
        <v>#VALUE!</v>
      </c>
      <c r="Y138" s="262" t="e">
        <f>K138/invulblad!S$59</f>
        <v>#VALUE!</v>
      </c>
      <c r="Z138" s="262" t="e">
        <f>L138/invulblad!T$59</f>
        <v>#VALUE!</v>
      </c>
      <c r="AA138" s="262" t="e">
        <f>M138/invulblad!U$59</f>
        <v>#VALUE!</v>
      </c>
      <c r="AB138" s="262" t="e">
        <f>N138/invulblad!V$59</f>
        <v>#VALUE!</v>
      </c>
    </row>
    <row r="139" spans="1:28" x14ac:dyDescent="0.2">
      <c r="A139" s="93">
        <v>9</v>
      </c>
      <c r="B139" s="93" t="str">
        <f>(invulblad!D25)</f>
        <v>bladval naaldbomen</v>
      </c>
      <c r="C139" s="94">
        <f>invulblad!$G25*invulblad!K25</f>
        <v>0</v>
      </c>
      <c r="D139" s="94">
        <f>invulblad!$G25*invulblad!L25</f>
        <v>0</v>
      </c>
      <c r="E139" s="94">
        <f>invulblad!$G25*invulblad!M25</f>
        <v>0</v>
      </c>
      <c r="F139" s="94">
        <f>invulblad!$G25*invulblad!N25</f>
        <v>0</v>
      </c>
      <c r="G139" s="94">
        <f>invulblad!$G25*invulblad!O25</f>
        <v>0</v>
      </c>
      <c r="H139" s="94">
        <f>invulblad!$G25*invulblad!P25</f>
        <v>0</v>
      </c>
      <c r="I139" s="94">
        <f>invulblad!$G25*invulblad!Q25</f>
        <v>0</v>
      </c>
      <c r="J139" s="94">
        <f>invulblad!$G25*invulblad!R25</f>
        <v>0</v>
      </c>
      <c r="K139" s="94">
        <f>invulblad!$G25*invulblad!S25</f>
        <v>0</v>
      </c>
      <c r="L139" s="94">
        <f>invulblad!$G25*invulblad!T25</f>
        <v>0</v>
      </c>
      <c r="M139" s="94">
        <f>invulblad!$G25*invulblad!U25</f>
        <v>0</v>
      </c>
      <c r="N139" s="94">
        <f>invulblad!$G25*invulblad!V25</f>
        <v>0</v>
      </c>
      <c r="P139" s="93" t="str">
        <f t="shared" si="35"/>
        <v>bladval naaldbomen</v>
      </c>
      <c r="Q139" s="262">
        <f>C139/invulblad!K$59</f>
        <v>0</v>
      </c>
      <c r="R139" s="262" t="e">
        <f>D139/invulblad!L$59</f>
        <v>#VALUE!</v>
      </c>
      <c r="S139" s="262" t="e">
        <f>E139/invulblad!M$59</f>
        <v>#VALUE!</v>
      </c>
      <c r="T139" s="262" t="e">
        <f>F139/invulblad!N$59</f>
        <v>#VALUE!</v>
      </c>
      <c r="U139" s="262" t="e">
        <f>G139/invulblad!O$59</f>
        <v>#VALUE!</v>
      </c>
      <c r="V139" s="262" t="e">
        <f>H139/invulblad!P$59</f>
        <v>#VALUE!</v>
      </c>
      <c r="W139" s="262" t="e">
        <f>I139/invulblad!Q$59</f>
        <v>#VALUE!</v>
      </c>
      <c r="X139" s="262" t="e">
        <f>J139/invulblad!R$59</f>
        <v>#VALUE!</v>
      </c>
      <c r="Y139" s="262" t="e">
        <f>K139/invulblad!S$59</f>
        <v>#VALUE!</v>
      </c>
      <c r="Z139" s="262" t="e">
        <f>L139/invulblad!T$59</f>
        <v>#VALUE!</v>
      </c>
      <c r="AA139" s="262" t="e">
        <f>M139/invulblad!U$59</f>
        <v>#VALUE!</v>
      </c>
      <c r="AB139" s="262" t="e">
        <f>N139/invulblad!V$59</f>
        <v>#VALUE!</v>
      </c>
    </row>
    <row r="140" spans="1:28" x14ac:dyDescent="0.2">
      <c r="A140" s="93">
        <v>10</v>
      </c>
      <c r="B140" s="93" t="str">
        <f>(invulblad!D26)</f>
        <v>hondenpoep</v>
      </c>
      <c r="C140" s="94">
        <f>invulblad!$G26*invulblad!K26+invulblad!$G27*invulblad!K27+invulblad!$G28*invulblad!K28</f>
        <v>0</v>
      </c>
      <c r="D140" s="94">
        <f>invulblad!$G26*invulblad!L26+invulblad!$G27*invulblad!L27+invulblad!$G28*invulblad!L28</f>
        <v>0</v>
      </c>
      <c r="E140" s="94">
        <f>invulblad!$G26*invulblad!M26+invulblad!$G27*invulblad!M27+invulblad!$G28*invulblad!M28</f>
        <v>0</v>
      </c>
      <c r="F140" s="94">
        <f>invulblad!$G26*invulblad!N26+invulblad!$G27*invulblad!N27+invulblad!$G28*invulblad!N28</f>
        <v>0</v>
      </c>
      <c r="G140" s="94">
        <f>invulblad!$G26*invulblad!O26+invulblad!$G27*invulblad!O27+invulblad!$G28*invulblad!O28</f>
        <v>0</v>
      </c>
      <c r="H140" s="94">
        <f>invulblad!$G26*invulblad!P26+invulblad!$G27*invulblad!P27+invulblad!$G28*invulblad!P28</f>
        <v>0</v>
      </c>
      <c r="I140" s="94">
        <f>invulblad!$G26*invulblad!Q26+invulblad!$G27*invulblad!Q27+invulblad!$G28*invulblad!Q28</f>
        <v>0</v>
      </c>
      <c r="J140" s="94">
        <f>invulblad!$G26*invulblad!R26+invulblad!$G27*invulblad!R27+invulblad!$G28*invulblad!R28</f>
        <v>0</v>
      </c>
      <c r="K140" s="94">
        <f>invulblad!$G26*invulblad!S26+invulblad!$G27*invulblad!S27+invulblad!$G28*invulblad!S28</f>
        <v>0</v>
      </c>
      <c r="L140" s="94">
        <f>invulblad!$G26*invulblad!T26+invulblad!$G27*invulblad!T27+invulblad!$G28*invulblad!T28</f>
        <v>0</v>
      </c>
      <c r="M140" s="94">
        <f>invulblad!$G26*invulblad!U26+invulblad!$G27*invulblad!U27+invulblad!$G28*invulblad!U28</f>
        <v>0</v>
      </c>
      <c r="N140" s="94">
        <f>invulblad!$G26*invulblad!V26+invulblad!$G27*invulblad!V27+invulblad!$G28*invulblad!V28</f>
        <v>0</v>
      </c>
      <c r="P140" s="93" t="str">
        <f t="shared" si="35"/>
        <v>hondenpoep</v>
      </c>
      <c r="Q140" s="262">
        <f>C140/invulblad!K$59</f>
        <v>0</v>
      </c>
      <c r="R140" s="262" t="e">
        <f>D140/invulblad!L$59</f>
        <v>#VALUE!</v>
      </c>
      <c r="S140" s="262" t="e">
        <f>E140/invulblad!M$59</f>
        <v>#VALUE!</v>
      </c>
      <c r="T140" s="262" t="e">
        <f>F140/invulblad!N$59</f>
        <v>#VALUE!</v>
      </c>
      <c r="U140" s="262" t="e">
        <f>G140/invulblad!O$59</f>
        <v>#VALUE!</v>
      </c>
      <c r="V140" s="262" t="e">
        <f>H140/invulblad!P$59</f>
        <v>#VALUE!</v>
      </c>
      <c r="W140" s="262" t="e">
        <f>I140/invulblad!Q$59</f>
        <v>#VALUE!</v>
      </c>
      <c r="X140" s="262" t="e">
        <f>J140/invulblad!R$59</f>
        <v>#VALUE!</v>
      </c>
      <c r="Y140" s="262" t="e">
        <f>K140/invulblad!S$59</f>
        <v>#VALUE!</v>
      </c>
      <c r="Z140" s="262" t="e">
        <f>L140/invulblad!T$59</f>
        <v>#VALUE!</v>
      </c>
      <c r="AA140" s="262" t="e">
        <f>M140/invulblad!U$59</f>
        <v>#VALUE!</v>
      </c>
      <c r="AB140" s="262" t="e">
        <f>N140/invulblad!V$59</f>
        <v>#VALUE!</v>
      </c>
    </row>
    <row r="141" spans="1:28" x14ac:dyDescent="0.2">
      <c r="A141" s="93">
        <v>11</v>
      </c>
      <c r="B141" s="93" t="str">
        <f>(invulblad!D29)</f>
        <v>voeren vogels</v>
      </c>
      <c r="C141" s="94">
        <f>invulblad!$G29*invulblad!K29+invulblad!$G30*invulblad!K30+invulblad!$G31*invulblad!K31</f>
        <v>0</v>
      </c>
      <c r="D141" s="94">
        <f>invulblad!$G29*invulblad!L29+invulblad!$G30*invulblad!L30+invulblad!$G31*invulblad!L31</f>
        <v>0</v>
      </c>
      <c r="E141" s="94">
        <f>invulblad!$G29*invulblad!M29+invulblad!$G30*invulblad!M30+invulblad!$G31*invulblad!M31</f>
        <v>0</v>
      </c>
      <c r="F141" s="94">
        <f>invulblad!$G29*invulblad!N29+invulblad!$G30*invulblad!N30+invulblad!$G31*invulblad!N31</f>
        <v>0</v>
      </c>
      <c r="G141" s="94">
        <f>invulblad!$G29*invulblad!O29+invulblad!$G30*invulblad!O30+invulblad!$G31*invulblad!O31</f>
        <v>0</v>
      </c>
      <c r="H141" s="94">
        <f>invulblad!$G29*invulblad!P29+invulblad!$G30*invulblad!P30+invulblad!$G31*invulblad!P31</f>
        <v>0</v>
      </c>
      <c r="I141" s="94">
        <f>invulblad!$G29*invulblad!Q29+invulblad!$G30*invulblad!Q30+invulblad!$G31*invulblad!Q31</f>
        <v>0</v>
      </c>
      <c r="J141" s="94">
        <f>invulblad!$G29*invulblad!R29+invulblad!$G30*invulblad!R30+invulblad!$G31*invulblad!R31</f>
        <v>0</v>
      </c>
      <c r="K141" s="94">
        <f>invulblad!$G29*invulblad!S29+invulblad!$G30*invulblad!S30+invulblad!$G31*invulblad!S31</f>
        <v>0</v>
      </c>
      <c r="L141" s="94">
        <f>invulblad!$G29*invulblad!T29+invulblad!$G30*invulblad!T30+invulblad!$G31*invulblad!T31</f>
        <v>0</v>
      </c>
      <c r="M141" s="94">
        <f>invulblad!$G29*invulblad!U29+invulblad!$G30*invulblad!U30+invulblad!$G31*invulblad!U31</f>
        <v>0</v>
      </c>
      <c r="N141" s="94">
        <f>invulblad!$G29*invulblad!V29+invulblad!$G30*invulblad!V30+invulblad!$G31*invulblad!V31</f>
        <v>0</v>
      </c>
      <c r="P141" s="93" t="str">
        <f t="shared" si="35"/>
        <v>voeren vogels</v>
      </c>
      <c r="Q141" s="262">
        <f>C141/invulblad!K$59</f>
        <v>0</v>
      </c>
      <c r="R141" s="262" t="e">
        <f>D141/invulblad!L$59</f>
        <v>#VALUE!</v>
      </c>
      <c r="S141" s="262" t="e">
        <f>E141/invulblad!M$59</f>
        <v>#VALUE!</v>
      </c>
      <c r="T141" s="262" t="e">
        <f>F141/invulblad!N$59</f>
        <v>#VALUE!</v>
      </c>
      <c r="U141" s="262" t="e">
        <f>G141/invulblad!O$59</f>
        <v>#VALUE!</v>
      </c>
      <c r="V141" s="262" t="e">
        <f>H141/invulblad!P$59</f>
        <v>#VALUE!</v>
      </c>
      <c r="W141" s="262" t="e">
        <f>I141/invulblad!Q$59</f>
        <v>#VALUE!</v>
      </c>
      <c r="X141" s="262" t="e">
        <f>J141/invulblad!R$59</f>
        <v>#VALUE!</v>
      </c>
      <c r="Y141" s="262" t="e">
        <f>K141/invulblad!S$59</f>
        <v>#VALUE!</v>
      </c>
      <c r="Z141" s="262" t="e">
        <f>L141/invulblad!T$59</f>
        <v>#VALUE!</v>
      </c>
      <c r="AA141" s="262" t="e">
        <f>M141/invulblad!U$59</f>
        <v>#VALUE!</v>
      </c>
      <c r="AB141" s="262" t="e">
        <f>N141/invulblad!V$59</f>
        <v>#VALUE!</v>
      </c>
    </row>
    <row r="142" spans="1:28" x14ac:dyDescent="0.2">
      <c r="A142" s="93">
        <v>12</v>
      </c>
      <c r="B142" s="93" t="str">
        <f>(invulblad!D32)</f>
        <v>lokvoer vissen</v>
      </c>
      <c r="C142" s="94">
        <f>invulblad!$G32*invulblad!K32</f>
        <v>0</v>
      </c>
      <c r="D142" s="94">
        <f>invulblad!$G32*invulblad!L32</f>
        <v>0</v>
      </c>
      <c r="E142" s="94">
        <f>invulblad!$G32*invulblad!M32</f>
        <v>0</v>
      </c>
      <c r="F142" s="94">
        <f>invulblad!$G32*invulblad!N32</f>
        <v>0</v>
      </c>
      <c r="G142" s="94">
        <f>invulblad!$G32*invulblad!O32</f>
        <v>0</v>
      </c>
      <c r="H142" s="94">
        <f>invulblad!$G32*invulblad!P32</f>
        <v>0</v>
      </c>
      <c r="I142" s="94">
        <f>invulblad!$G32*invulblad!Q32</f>
        <v>0</v>
      </c>
      <c r="J142" s="94">
        <f>invulblad!$G32*invulblad!R32</f>
        <v>0</v>
      </c>
      <c r="K142" s="94">
        <f>invulblad!$G32*invulblad!S32</f>
        <v>0</v>
      </c>
      <c r="L142" s="94">
        <f>invulblad!$G32*invulblad!T32</f>
        <v>0</v>
      </c>
      <c r="M142" s="94">
        <f>invulblad!$G32*invulblad!U32</f>
        <v>0</v>
      </c>
      <c r="N142" s="94">
        <f>invulblad!$G32*invulblad!V32</f>
        <v>0</v>
      </c>
      <c r="P142" s="93" t="str">
        <f t="shared" si="35"/>
        <v>lokvoer vissen</v>
      </c>
      <c r="Q142" s="262">
        <f>C142/invulblad!K$59</f>
        <v>0</v>
      </c>
      <c r="R142" s="262" t="e">
        <f>D142/invulblad!L$59</f>
        <v>#VALUE!</v>
      </c>
      <c r="S142" s="262" t="e">
        <f>E142/invulblad!M$59</f>
        <v>#VALUE!</v>
      </c>
      <c r="T142" s="262" t="e">
        <f>F142/invulblad!N$59</f>
        <v>#VALUE!</v>
      </c>
      <c r="U142" s="262" t="e">
        <f>G142/invulblad!O$59</f>
        <v>#VALUE!</v>
      </c>
      <c r="V142" s="262" t="e">
        <f>H142/invulblad!P$59</f>
        <v>#VALUE!</v>
      </c>
      <c r="W142" s="262" t="e">
        <f>I142/invulblad!Q$59</f>
        <v>#VALUE!</v>
      </c>
      <c r="X142" s="262" t="e">
        <f>J142/invulblad!R$59</f>
        <v>#VALUE!</v>
      </c>
      <c r="Y142" s="262" t="e">
        <f>K142/invulblad!S$59</f>
        <v>#VALUE!</v>
      </c>
      <c r="Z142" s="262" t="e">
        <f>L142/invulblad!T$59</f>
        <v>#VALUE!</v>
      </c>
      <c r="AA142" s="262" t="e">
        <f>M142/invulblad!U$59</f>
        <v>#VALUE!</v>
      </c>
      <c r="AB142" s="262" t="e">
        <f>N142/invulblad!V$59</f>
        <v>#VALUE!</v>
      </c>
    </row>
    <row r="143" spans="1:28" x14ac:dyDescent="0.2">
      <c r="A143" s="93">
        <v>13</v>
      </c>
      <c r="B143" s="93" t="str">
        <f>(invulblad!D33)</f>
        <v>afspoeling mest</v>
      </c>
      <c r="C143" s="94">
        <f>invulblad!$G33*invulblad!K33+invulblad!$G34*invulblad!K34+invulblad!$G35*invulblad!K35</f>
        <v>0</v>
      </c>
      <c r="D143" s="94">
        <f>invulblad!$G33*invulblad!L33+invulblad!$G34*invulblad!L34+invulblad!$G35*invulblad!L35</f>
        <v>0</v>
      </c>
      <c r="E143" s="94">
        <f>invulblad!$G33*invulblad!M33+invulblad!$G34*invulblad!M34+invulblad!$G35*invulblad!M35</f>
        <v>0</v>
      </c>
      <c r="F143" s="94">
        <f>invulblad!$G33*invulblad!N33+invulblad!$G34*invulblad!N34+invulblad!$G35*invulblad!N35</f>
        <v>0</v>
      </c>
      <c r="G143" s="94">
        <f>invulblad!$G33*invulblad!O33+invulblad!$G34*invulblad!O34+invulblad!$G35*invulblad!O35</f>
        <v>0</v>
      </c>
      <c r="H143" s="94">
        <f>invulblad!$G33*invulblad!P33+invulblad!$G34*invulblad!P34+invulblad!$G35*invulblad!P35</f>
        <v>0</v>
      </c>
      <c r="I143" s="94">
        <f>invulblad!$G33*invulblad!Q33+invulblad!$G34*invulblad!Q34+invulblad!$G35*invulblad!Q35</f>
        <v>0</v>
      </c>
      <c r="J143" s="94">
        <f>invulblad!$G33*invulblad!R33+invulblad!$G34*invulblad!R34+invulblad!$G35*invulblad!R35</f>
        <v>0</v>
      </c>
      <c r="K143" s="94">
        <f>invulblad!$G33*invulblad!S33+invulblad!$G34*invulblad!S34+invulblad!$G35*invulblad!S35</f>
        <v>0</v>
      </c>
      <c r="L143" s="94">
        <f>invulblad!$G33*invulblad!T33+invulblad!$G34*invulblad!T34+invulblad!$G35*invulblad!T35</f>
        <v>0</v>
      </c>
      <c r="M143" s="94">
        <f>invulblad!$G33*invulblad!U33+invulblad!$G34*invulblad!U34+invulblad!$G35*invulblad!U35</f>
        <v>0</v>
      </c>
      <c r="N143" s="94">
        <f>invulblad!$G33*invulblad!V33+invulblad!$G34*invulblad!V34+invulblad!$G35*invulblad!V35</f>
        <v>0</v>
      </c>
      <c r="P143" s="93" t="str">
        <f t="shared" si="35"/>
        <v>afspoeling mest</v>
      </c>
      <c r="Q143" s="262">
        <f>C143/invulblad!K$59</f>
        <v>0</v>
      </c>
      <c r="R143" s="262" t="e">
        <f>D143/invulblad!L$59</f>
        <v>#VALUE!</v>
      </c>
      <c r="S143" s="262" t="e">
        <f>E143/invulblad!M$59</f>
        <v>#VALUE!</v>
      </c>
      <c r="T143" s="262" t="e">
        <f>F143/invulblad!N$59</f>
        <v>#VALUE!</v>
      </c>
      <c r="U143" s="262" t="e">
        <f>G143/invulblad!O$59</f>
        <v>#VALUE!</v>
      </c>
      <c r="V143" s="262" t="e">
        <f>H143/invulblad!P$59</f>
        <v>#VALUE!</v>
      </c>
      <c r="W143" s="262" t="e">
        <f>I143/invulblad!Q$59</f>
        <v>#VALUE!</v>
      </c>
      <c r="X143" s="262" t="e">
        <f>J143/invulblad!R$59</f>
        <v>#VALUE!</v>
      </c>
      <c r="Y143" s="262" t="e">
        <f>K143/invulblad!S$59</f>
        <v>#VALUE!</v>
      </c>
      <c r="Z143" s="262" t="e">
        <f>L143/invulblad!T$59</f>
        <v>#VALUE!</v>
      </c>
      <c r="AA143" s="262" t="e">
        <f>M143/invulblad!U$59</f>
        <v>#VALUE!</v>
      </c>
      <c r="AB143" s="262" t="e">
        <f>N143/invulblad!V$59</f>
        <v>#VALUE!</v>
      </c>
    </row>
    <row r="144" spans="1:28" x14ac:dyDescent="0.2">
      <c r="A144" s="93">
        <v>14</v>
      </c>
      <c r="B144" s="93" t="s">
        <v>128</v>
      </c>
      <c r="C144" s="94">
        <f>IFERROR(invulblad!K67*invulblad!K83,0)</f>
        <v>240</v>
      </c>
      <c r="D144" s="94">
        <f>IFERROR(invulblad!L67*invulblad!L83,0)</f>
        <v>0</v>
      </c>
      <c r="E144" s="94">
        <f>IFERROR(invulblad!M67*invulblad!M83,0)</f>
        <v>0</v>
      </c>
      <c r="F144" s="94">
        <f>IFERROR(invulblad!N67*invulblad!N83,0)</f>
        <v>0</v>
      </c>
      <c r="G144" s="94">
        <f>IFERROR(invulblad!O67*invulblad!O83,0)</f>
        <v>0</v>
      </c>
      <c r="H144" s="94">
        <f>IFERROR(invulblad!P67*invulblad!P83,0)</f>
        <v>0</v>
      </c>
      <c r="I144" s="94">
        <f>IFERROR(invulblad!Q67*invulblad!Q83,0)</f>
        <v>0</v>
      </c>
      <c r="J144" s="94">
        <f>IFERROR(invulblad!R67*invulblad!R83,0)</f>
        <v>0</v>
      </c>
      <c r="K144" s="94">
        <f>IFERROR(invulblad!S67*invulblad!S83,0)</f>
        <v>0</v>
      </c>
      <c r="L144" s="94">
        <f>IFERROR(invulblad!T67*invulblad!T83,0)</f>
        <v>0</v>
      </c>
      <c r="M144" s="94">
        <f>IFERROR(invulblad!U67*invulblad!U83,0)</f>
        <v>0</v>
      </c>
      <c r="N144" s="94">
        <f>IFERROR(invulblad!V67*invulblad!V83,0)</f>
        <v>0</v>
      </c>
      <c r="P144" s="93" t="str">
        <f t="shared" ref="P144" si="36">B144</f>
        <v>aanvoerwater</v>
      </c>
      <c r="Q144" s="262">
        <f>C144/invulblad!K$59</f>
        <v>0.15</v>
      </c>
      <c r="R144" s="262" t="e">
        <f>D144/invulblad!L$59</f>
        <v>#VALUE!</v>
      </c>
      <c r="S144" s="262" t="e">
        <f>E144/invulblad!M$59</f>
        <v>#VALUE!</v>
      </c>
      <c r="T144" s="262" t="e">
        <f>F144/invulblad!N$59</f>
        <v>#VALUE!</v>
      </c>
      <c r="U144" s="262" t="e">
        <f>G144/invulblad!O$59</f>
        <v>#VALUE!</v>
      </c>
      <c r="V144" s="262" t="e">
        <f>H144/invulblad!P$59</f>
        <v>#VALUE!</v>
      </c>
      <c r="W144" s="262" t="e">
        <f>I144/invulblad!Q$59</f>
        <v>#VALUE!</v>
      </c>
      <c r="X144" s="262" t="e">
        <f>J144/invulblad!R$59</f>
        <v>#VALUE!</v>
      </c>
      <c r="Y144" s="262" t="e">
        <f>K144/invulblad!S$59</f>
        <v>#VALUE!</v>
      </c>
      <c r="Z144" s="262" t="e">
        <f>L144/invulblad!T$59</f>
        <v>#VALUE!</v>
      </c>
      <c r="AA144" s="262" t="e">
        <f>M144/invulblad!U$59</f>
        <v>#VALUE!</v>
      </c>
      <c r="AB144" s="262" t="e">
        <f>N144/invulblad!V$59</f>
        <v>#VALUE!</v>
      </c>
    </row>
    <row r="145" spans="1:28" x14ac:dyDescent="0.2">
      <c r="A145" s="93">
        <v>15</v>
      </c>
      <c r="B145" s="93" t="str">
        <f>(invulblad!D36)</f>
        <v>overige bron1</v>
      </c>
      <c r="C145" s="94">
        <f>invulblad!$G36*invulblad!K36</f>
        <v>0</v>
      </c>
      <c r="D145" s="94">
        <f>invulblad!$G36*invulblad!L36</f>
        <v>0</v>
      </c>
      <c r="E145" s="94">
        <f>invulblad!$G36*invulblad!M36</f>
        <v>0</v>
      </c>
      <c r="F145" s="94">
        <f>invulblad!$G36*invulblad!N36</f>
        <v>0</v>
      </c>
      <c r="G145" s="94">
        <f>invulblad!$G36*invulblad!O36</f>
        <v>0</v>
      </c>
      <c r="H145" s="94">
        <f>invulblad!$G36*invulblad!P36</f>
        <v>0</v>
      </c>
      <c r="I145" s="94">
        <f>invulblad!$G36*invulblad!Q36</f>
        <v>0</v>
      </c>
      <c r="J145" s="94">
        <f>invulblad!$G36*invulblad!R36</f>
        <v>0</v>
      </c>
      <c r="K145" s="94">
        <f>invulblad!$G36*invulblad!S36</f>
        <v>0</v>
      </c>
      <c r="L145" s="94">
        <f>invulblad!$G36*invulblad!T36</f>
        <v>0</v>
      </c>
      <c r="M145" s="94">
        <f>invulblad!$G36*invulblad!U36</f>
        <v>0</v>
      </c>
      <c r="N145" s="94">
        <f>invulblad!$G36*invulblad!V36</f>
        <v>0</v>
      </c>
      <c r="P145" s="93" t="str">
        <f t="shared" si="35"/>
        <v>overige bron1</v>
      </c>
      <c r="Q145" s="262">
        <f>C145/invulblad!K$59</f>
        <v>0</v>
      </c>
      <c r="R145" s="262" t="e">
        <f>D145/invulblad!L$59</f>
        <v>#VALUE!</v>
      </c>
      <c r="S145" s="262" t="e">
        <f>E145/invulblad!M$59</f>
        <v>#VALUE!</v>
      </c>
      <c r="T145" s="262" t="e">
        <f>F145/invulblad!N$59</f>
        <v>#VALUE!</v>
      </c>
      <c r="U145" s="262" t="e">
        <f>G145/invulblad!O$59</f>
        <v>#VALUE!</v>
      </c>
      <c r="V145" s="262" t="e">
        <f>H145/invulblad!P$59</f>
        <v>#VALUE!</v>
      </c>
      <c r="W145" s="262" t="e">
        <f>I145/invulblad!Q$59</f>
        <v>#VALUE!</v>
      </c>
      <c r="X145" s="262" t="e">
        <f>J145/invulblad!R$59</f>
        <v>#VALUE!</v>
      </c>
      <c r="Y145" s="262" t="e">
        <f>K145/invulblad!S$59</f>
        <v>#VALUE!</v>
      </c>
      <c r="Z145" s="262" t="e">
        <f>L145/invulblad!T$59</f>
        <v>#VALUE!</v>
      </c>
      <c r="AA145" s="262" t="e">
        <f>M145/invulblad!U$59</f>
        <v>#VALUE!</v>
      </c>
      <c r="AB145" s="262" t="e">
        <f>N145/invulblad!V$59</f>
        <v>#VALUE!</v>
      </c>
    </row>
    <row r="146" spans="1:28" x14ac:dyDescent="0.2">
      <c r="A146" s="93">
        <v>16</v>
      </c>
      <c r="B146" s="93" t="str">
        <f>(invulblad!D37)</f>
        <v>overige bron2</v>
      </c>
      <c r="C146" s="94">
        <f>invulblad!$G37*invulblad!K37</f>
        <v>0</v>
      </c>
      <c r="D146" s="94">
        <f>invulblad!$G37*invulblad!L37</f>
        <v>0</v>
      </c>
      <c r="E146" s="94">
        <f>invulblad!$G37*invulblad!M37</f>
        <v>0</v>
      </c>
      <c r="F146" s="94">
        <f>invulblad!$G37*invulblad!N37</f>
        <v>0</v>
      </c>
      <c r="G146" s="94">
        <f>invulblad!$G37*invulblad!O37</f>
        <v>0</v>
      </c>
      <c r="H146" s="94">
        <f>invulblad!$G37*invulblad!P37</f>
        <v>0</v>
      </c>
      <c r="I146" s="94">
        <f>invulblad!$G37*invulblad!Q37</f>
        <v>0</v>
      </c>
      <c r="J146" s="94">
        <f>invulblad!$G37*invulblad!R37</f>
        <v>0</v>
      </c>
      <c r="K146" s="94">
        <f>invulblad!$G37*invulblad!S37</f>
        <v>0</v>
      </c>
      <c r="L146" s="94">
        <f>invulblad!$G37*invulblad!T37</f>
        <v>0</v>
      </c>
      <c r="M146" s="94">
        <f>invulblad!$G37*invulblad!U37</f>
        <v>0</v>
      </c>
      <c r="N146" s="94">
        <f>invulblad!$G37*invulblad!V37</f>
        <v>0</v>
      </c>
      <c r="P146" s="93" t="str">
        <f t="shared" si="35"/>
        <v>overige bron2</v>
      </c>
      <c r="Q146" s="262">
        <f>C146/invulblad!K$59</f>
        <v>0</v>
      </c>
      <c r="R146" s="262" t="e">
        <f>D146/invulblad!L$59</f>
        <v>#VALUE!</v>
      </c>
      <c r="S146" s="262" t="e">
        <f>E146/invulblad!M$59</f>
        <v>#VALUE!</v>
      </c>
      <c r="T146" s="262" t="e">
        <f>F146/invulblad!N$59</f>
        <v>#VALUE!</v>
      </c>
      <c r="U146" s="262" t="e">
        <f>G146/invulblad!O$59</f>
        <v>#VALUE!</v>
      </c>
      <c r="V146" s="262" t="e">
        <f>H146/invulblad!P$59</f>
        <v>#VALUE!</v>
      </c>
      <c r="W146" s="262" t="e">
        <f>I146/invulblad!Q$59</f>
        <v>#VALUE!</v>
      </c>
      <c r="X146" s="262" t="e">
        <f>J146/invulblad!R$59</f>
        <v>#VALUE!</v>
      </c>
      <c r="Y146" s="262" t="e">
        <f>K146/invulblad!S$59</f>
        <v>#VALUE!</v>
      </c>
      <c r="Z146" s="262" t="e">
        <f>L146/invulblad!T$59</f>
        <v>#VALUE!</v>
      </c>
      <c r="AA146" s="262" t="e">
        <f>M146/invulblad!U$59</f>
        <v>#VALUE!</v>
      </c>
      <c r="AB146" s="262" t="e">
        <f>N146/invulblad!V$59</f>
        <v>#VALUE!</v>
      </c>
    </row>
    <row r="147" spans="1:28" x14ac:dyDescent="0.2">
      <c r="A147" s="93">
        <v>17</v>
      </c>
      <c r="B147" s="93" t="str">
        <f>(invulblad!D38)</f>
        <v>overige bron3</v>
      </c>
      <c r="C147" s="94">
        <f>invulblad!$G38*invulblad!K38</f>
        <v>0</v>
      </c>
      <c r="D147" s="94">
        <f>invulblad!$G38*invulblad!L38</f>
        <v>0</v>
      </c>
      <c r="E147" s="94">
        <f>invulblad!$G38*invulblad!M38</f>
        <v>0</v>
      </c>
      <c r="F147" s="94">
        <f>invulblad!$G38*invulblad!N38</f>
        <v>0</v>
      </c>
      <c r="G147" s="94">
        <f>invulblad!$G38*invulblad!O38</f>
        <v>0</v>
      </c>
      <c r="H147" s="94">
        <f>invulblad!$G38*invulblad!P38</f>
        <v>0</v>
      </c>
      <c r="I147" s="94">
        <f>invulblad!$G38*invulblad!Q38</f>
        <v>0</v>
      </c>
      <c r="J147" s="94">
        <f>invulblad!$G38*invulblad!R38</f>
        <v>0</v>
      </c>
      <c r="K147" s="94">
        <f>invulblad!$G38*invulblad!S38</f>
        <v>0</v>
      </c>
      <c r="L147" s="94">
        <f>invulblad!$G38*invulblad!T38</f>
        <v>0</v>
      </c>
      <c r="M147" s="94">
        <f>invulblad!$G38*invulblad!U38</f>
        <v>0</v>
      </c>
      <c r="N147" s="94">
        <f>invulblad!$G38*invulblad!V38</f>
        <v>0</v>
      </c>
      <c r="P147" s="93" t="str">
        <f t="shared" si="35"/>
        <v>overige bron3</v>
      </c>
      <c r="Q147" s="262">
        <f>C147/invulblad!K$59</f>
        <v>0</v>
      </c>
      <c r="R147" s="262" t="e">
        <f>D147/invulblad!L$59</f>
        <v>#VALUE!</v>
      </c>
      <c r="S147" s="262" t="e">
        <f>E147/invulblad!M$59</f>
        <v>#VALUE!</v>
      </c>
      <c r="T147" s="262" t="e">
        <f>F147/invulblad!N$59</f>
        <v>#VALUE!</v>
      </c>
      <c r="U147" s="262" t="e">
        <f>G147/invulblad!O$59</f>
        <v>#VALUE!</v>
      </c>
      <c r="V147" s="262" t="e">
        <f>H147/invulblad!P$59</f>
        <v>#VALUE!</v>
      </c>
      <c r="W147" s="262" t="e">
        <f>I147/invulblad!Q$59</f>
        <v>#VALUE!</v>
      </c>
      <c r="X147" s="262" t="e">
        <f>J147/invulblad!R$59</f>
        <v>#VALUE!</v>
      </c>
      <c r="Y147" s="262" t="e">
        <f>K147/invulblad!S$59</f>
        <v>#VALUE!</v>
      </c>
      <c r="Z147" s="262" t="e">
        <f>L147/invulblad!T$59</f>
        <v>#VALUE!</v>
      </c>
      <c r="AA147" s="262" t="e">
        <f>M147/invulblad!U$59</f>
        <v>#VALUE!</v>
      </c>
      <c r="AB147" s="262" t="e">
        <f>N147/invulblad!V$59</f>
        <v>#VALUE!</v>
      </c>
    </row>
    <row r="148" spans="1:28" x14ac:dyDescent="0.2">
      <c r="A148" s="93">
        <v>18</v>
      </c>
      <c r="B148" s="93" t="str">
        <f>(invulblad!D39)</f>
        <v>overige bron4</v>
      </c>
      <c r="C148" s="94">
        <f>invulblad!$G39*invulblad!K39</f>
        <v>0</v>
      </c>
      <c r="D148" s="94">
        <f>invulblad!$G39*invulblad!L39</f>
        <v>0</v>
      </c>
      <c r="E148" s="94">
        <f>invulblad!$G39*invulblad!M39</f>
        <v>0</v>
      </c>
      <c r="F148" s="94">
        <f>invulblad!$G39*invulblad!N39</f>
        <v>0</v>
      </c>
      <c r="G148" s="94">
        <f>invulblad!$G39*invulblad!O39</f>
        <v>0</v>
      </c>
      <c r="H148" s="94">
        <f>invulblad!$G39*invulblad!P39</f>
        <v>0</v>
      </c>
      <c r="I148" s="94">
        <f>invulblad!$G39*invulblad!Q39</f>
        <v>0</v>
      </c>
      <c r="J148" s="94">
        <f>invulblad!$G39*invulblad!R39</f>
        <v>0</v>
      </c>
      <c r="K148" s="94">
        <f>invulblad!$G39*invulblad!S39</f>
        <v>0</v>
      </c>
      <c r="L148" s="94">
        <f>invulblad!$G39*invulblad!T39</f>
        <v>0</v>
      </c>
      <c r="M148" s="94">
        <f>invulblad!$G39*invulblad!U39</f>
        <v>0</v>
      </c>
      <c r="N148" s="94">
        <f>invulblad!$G39*invulblad!V39</f>
        <v>0</v>
      </c>
      <c r="P148" s="93" t="str">
        <f t="shared" si="35"/>
        <v>overige bron4</v>
      </c>
      <c r="Q148" s="262">
        <f>C148/invulblad!K$59</f>
        <v>0</v>
      </c>
      <c r="R148" s="262" t="e">
        <f>D148/invulblad!L$59</f>
        <v>#VALUE!</v>
      </c>
      <c r="S148" s="262" t="e">
        <f>E148/invulblad!M$59</f>
        <v>#VALUE!</v>
      </c>
      <c r="T148" s="262" t="e">
        <f>F148/invulblad!N$59</f>
        <v>#VALUE!</v>
      </c>
      <c r="U148" s="262" t="e">
        <f>G148/invulblad!O$59</f>
        <v>#VALUE!</v>
      </c>
      <c r="V148" s="262" t="e">
        <f>H148/invulblad!P$59</f>
        <v>#VALUE!</v>
      </c>
      <c r="W148" s="262" t="e">
        <f>I148/invulblad!Q$59</f>
        <v>#VALUE!</v>
      </c>
      <c r="X148" s="262" t="e">
        <f>J148/invulblad!R$59</f>
        <v>#VALUE!</v>
      </c>
      <c r="Y148" s="262" t="e">
        <f>K148/invulblad!S$59</f>
        <v>#VALUE!</v>
      </c>
      <c r="Z148" s="262" t="e">
        <f>L148/invulblad!T$59</f>
        <v>#VALUE!</v>
      </c>
      <c r="AA148" s="262" t="e">
        <f>M148/invulblad!U$59</f>
        <v>#VALUE!</v>
      </c>
      <c r="AB148" s="262" t="e">
        <f>N148/invulblad!V$59</f>
        <v>#VALUE!</v>
      </c>
    </row>
    <row r="149" spans="1:28" x14ac:dyDescent="0.2">
      <c r="A149" s="93"/>
      <c r="B149" s="93"/>
      <c r="C149" s="94"/>
      <c r="D149" s="94"/>
      <c r="E149" s="94"/>
      <c r="F149" s="94"/>
      <c r="G149" s="94"/>
      <c r="H149" s="94"/>
      <c r="I149" s="94"/>
      <c r="J149" s="94"/>
      <c r="K149" s="94"/>
      <c r="L149" s="94"/>
      <c r="M149" s="94"/>
      <c r="N149" s="94"/>
      <c r="P149" s="93"/>
      <c r="Q149" s="262"/>
      <c r="R149" s="262"/>
      <c r="S149" s="262"/>
      <c r="T149" s="262"/>
      <c r="U149" s="262"/>
      <c r="V149" s="262"/>
      <c r="W149" s="262"/>
      <c r="X149" s="262"/>
      <c r="Y149" s="262"/>
      <c r="Z149" s="262"/>
      <c r="AA149" s="262"/>
      <c r="AB149" s="262"/>
    </row>
    <row r="150" spans="1:28" x14ac:dyDescent="0.2">
      <c r="A150" s="95" t="s">
        <v>173</v>
      </c>
      <c r="B150" s="93" t="s">
        <v>171</v>
      </c>
      <c r="C150" s="94">
        <f>SUMIF(C131:C148,"&gt;0")</f>
        <v>1263</v>
      </c>
      <c r="D150" s="94">
        <f t="shared" ref="D150:N150" si="37">SUMIF(D131:D148,"&gt;0")</f>
        <v>0</v>
      </c>
      <c r="E150" s="94">
        <f t="shared" si="37"/>
        <v>0</v>
      </c>
      <c r="F150" s="94">
        <f t="shared" si="37"/>
        <v>0</v>
      </c>
      <c r="G150" s="94">
        <f t="shared" si="37"/>
        <v>0</v>
      </c>
      <c r="H150" s="94">
        <f t="shared" si="37"/>
        <v>0</v>
      </c>
      <c r="I150" s="94">
        <f t="shared" si="37"/>
        <v>0</v>
      </c>
      <c r="J150" s="94">
        <f t="shared" si="37"/>
        <v>0</v>
      </c>
      <c r="K150" s="94">
        <f t="shared" si="37"/>
        <v>0</v>
      </c>
      <c r="L150" s="94">
        <f t="shared" si="37"/>
        <v>0</v>
      </c>
      <c r="M150" s="94">
        <f t="shared" si="37"/>
        <v>0</v>
      </c>
      <c r="N150" s="94">
        <f t="shared" si="37"/>
        <v>0</v>
      </c>
      <c r="P150" s="93" t="str">
        <f>B150</f>
        <v>totaal</v>
      </c>
      <c r="Q150" s="262">
        <f>C150/invulblad!K$59</f>
        <v>0.78937500000000005</v>
      </c>
      <c r="R150" s="262" t="e">
        <f>D150/invulblad!L$59</f>
        <v>#VALUE!</v>
      </c>
      <c r="S150" s="262" t="e">
        <f>E150/invulblad!M$59</f>
        <v>#VALUE!</v>
      </c>
      <c r="T150" s="262" t="e">
        <f>F150/invulblad!N$59</f>
        <v>#VALUE!</v>
      </c>
      <c r="U150" s="262" t="e">
        <f>G150/invulblad!O$59</f>
        <v>#VALUE!</v>
      </c>
      <c r="V150" s="262" t="e">
        <f>H150/invulblad!P$59</f>
        <v>#VALUE!</v>
      </c>
      <c r="W150" s="262" t="e">
        <f>I150/invulblad!Q$59</f>
        <v>#VALUE!</v>
      </c>
      <c r="X150" s="262" t="e">
        <f>J150/invulblad!R$59</f>
        <v>#VALUE!</v>
      </c>
      <c r="Y150" s="262" t="e">
        <f>K150/invulblad!S$59</f>
        <v>#VALUE!</v>
      </c>
      <c r="Z150" s="262" t="e">
        <f>L150/invulblad!T$59</f>
        <v>#VALUE!</v>
      </c>
      <c r="AA150" s="262" t="e">
        <f>M150/invulblad!U$59</f>
        <v>#VALUE!</v>
      </c>
      <c r="AB150" s="262" t="e">
        <f>N150/invulblad!V$59</f>
        <v>#VALUE!</v>
      </c>
    </row>
    <row r="152" spans="1:28" s="96" customFormat="1" ht="27" x14ac:dyDescent="0.25">
      <c r="A152" s="90"/>
      <c r="B152" s="91" t="s">
        <v>178</v>
      </c>
      <c r="C152" s="92" t="str">
        <f>C130</f>
        <v>Voorbeeld</v>
      </c>
      <c r="D152" s="92" t="str">
        <f t="shared" ref="D152:N152" si="38">D130</f>
        <v>water_2</v>
      </c>
      <c r="E152" s="92" t="str">
        <f t="shared" si="38"/>
        <v>water_3</v>
      </c>
      <c r="F152" s="92" t="str">
        <f t="shared" si="38"/>
        <v>water_4</v>
      </c>
      <c r="G152" s="92" t="str">
        <f t="shared" si="38"/>
        <v>water_5</v>
      </c>
      <c r="H152" s="92" t="str">
        <f t="shared" si="38"/>
        <v>water_6</v>
      </c>
      <c r="I152" s="92" t="str">
        <f t="shared" si="38"/>
        <v>water_7</v>
      </c>
      <c r="J152" s="92" t="str">
        <f t="shared" si="38"/>
        <v>water_8</v>
      </c>
      <c r="K152" s="92" t="str">
        <f t="shared" si="38"/>
        <v>water_9</v>
      </c>
      <c r="L152" s="92" t="str">
        <f t="shared" si="38"/>
        <v>water_10</v>
      </c>
      <c r="M152" s="92" t="str">
        <f t="shared" si="38"/>
        <v>water_11</v>
      </c>
      <c r="N152" s="92" t="str">
        <f t="shared" si="38"/>
        <v>water_12</v>
      </c>
      <c r="P152" s="91" t="s">
        <v>179</v>
      </c>
      <c r="Q152" s="92" t="str">
        <f>C152</f>
        <v>Voorbeeld</v>
      </c>
      <c r="R152" s="92" t="str">
        <f t="shared" ref="R152" si="39">D152</f>
        <v>water_2</v>
      </c>
      <c r="S152" s="92" t="str">
        <f t="shared" ref="S152" si="40">E152</f>
        <v>water_3</v>
      </c>
      <c r="T152" s="92" t="str">
        <f t="shared" ref="T152" si="41">F152</f>
        <v>water_4</v>
      </c>
      <c r="U152" s="92" t="str">
        <f t="shared" ref="U152" si="42">G152</f>
        <v>water_5</v>
      </c>
      <c r="V152" s="92" t="str">
        <f t="shared" ref="V152" si="43">H152</f>
        <v>water_6</v>
      </c>
      <c r="W152" s="92" t="str">
        <f t="shared" ref="W152" si="44">I152</f>
        <v>water_7</v>
      </c>
      <c r="X152" s="92" t="str">
        <f t="shared" ref="X152" si="45">J152</f>
        <v>water_8</v>
      </c>
      <c r="Y152" s="92" t="str">
        <f t="shared" ref="Y152" si="46">K152</f>
        <v>water_9</v>
      </c>
      <c r="Z152" s="92" t="str">
        <f t="shared" ref="Z152" si="47">L152</f>
        <v>water_10</v>
      </c>
      <c r="AA152" s="92" t="str">
        <f t="shared" ref="AA152" si="48">M152</f>
        <v>water_11</v>
      </c>
      <c r="AB152" s="92" t="str">
        <f t="shared" ref="AB152" si="49">N152</f>
        <v>water_12</v>
      </c>
    </row>
    <row r="153" spans="1:28" x14ac:dyDescent="0.2">
      <c r="A153" s="93">
        <f>A131</f>
        <v>1</v>
      </c>
      <c r="B153" s="93" t="str">
        <f>B131</f>
        <v>overstort gemengd stelsel</v>
      </c>
      <c r="C153" s="94">
        <f>4.57*invulblad!$H12*invulblad!K12</f>
        <v>365.60000000000008</v>
      </c>
      <c r="D153" s="94">
        <f>4.57*invulblad!$H12*invulblad!L12</f>
        <v>0</v>
      </c>
      <c r="E153" s="94">
        <f>4.57*invulblad!$H12*invulblad!M12</f>
        <v>0</v>
      </c>
      <c r="F153" s="94">
        <f>4.57*invulblad!$H12*invulblad!N12</f>
        <v>0</v>
      </c>
      <c r="G153" s="94">
        <f>4.57*invulblad!$H12*invulblad!O12</f>
        <v>0</v>
      </c>
      <c r="H153" s="94">
        <f>4.57*invulblad!$H12*invulblad!P12</f>
        <v>0</v>
      </c>
      <c r="I153" s="94">
        <f>4.57*invulblad!$H12*invulblad!Q12</f>
        <v>0</v>
      </c>
      <c r="J153" s="94">
        <f>4.57*invulblad!$H12*invulblad!R12</f>
        <v>0</v>
      </c>
      <c r="K153" s="94">
        <f>4.57*invulblad!$H12*invulblad!S12</f>
        <v>0</v>
      </c>
      <c r="L153" s="94">
        <f>4.57*invulblad!$H12*invulblad!T12</f>
        <v>0</v>
      </c>
      <c r="M153" s="94">
        <f>4.57*invulblad!$H12*invulblad!U12</f>
        <v>0</v>
      </c>
      <c r="N153" s="94">
        <f>4.57*invulblad!$H12*invulblad!V12</f>
        <v>0</v>
      </c>
      <c r="P153" s="263" t="str">
        <f>B153</f>
        <v>overstort gemengd stelsel</v>
      </c>
      <c r="Q153" s="262">
        <f>C153/invulblad!K$59</f>
        <v>0.22850000000000004</v>
      </c>
      <c r="R153" s="262" t="e">
        <f>D153/invulblad!L$59</f>
        <v>#VALUE!</v>
      </c>
      <c r="S153" s="262" t="e">
        <f>E153/invulblad!M$59</f>
        <v>#VALUE!</v>
      </c>
      <c r="T153" s="262" t="e">
        <f>F153/invulblad!N$59</f>
        <v>#VALUE!</v>
      </c>
      <c r="U153" s="262" t="e">
        <f>G153/invulblad!O$59</f>
        <v>#VALUE!</v>
      </c>
      <c r="V153" s="262" t="e">
        <f>H153/invulblad!P$59</f>
        <v>#VALUE!</v>
      </c>
      <c r="W153" s="262" t="e">
        <f>I153/invulblad!Q$59</f>
        <v>#VALUE!</v>
      </c>
      <c r="X153" s="262" t="e">
        <f>J153/invulblad!R$59</f>
        <v>#VALUE!</v>
      </c>
      <c r="Y153" s="262" t="e">
        <f>K153/invulblad!S$59</f>
        <v>#VALUE!</v>
      </c>
      <c r="Z153" s="262" t="e">
        <f>L153/invulblad!T$59</f>
        <v>#VALUE!</v>
      </c>
      <c r="AA153" s="262" t="e">
        <f>M153/invulblad!U$59</f>
        <v>#VALUE!</v>
      </c>
      <c r="AB153" s="262" t="e">
        <f>N153/invulblad!V$59</f>
        <v>#VALUE!</v>
      </c>
    </row>
    <row r="154" spans="1:28" x14ac:dyDescent="0.2">
      <c r="A154" s="93">
        <f t="shared" ref="A154:B154" si="50">A132</f>
        <v>2</v>
      </c>
      <c r="B154" s="93" t="str">
        <f t="shared" si="50"/>
        <v>overstort gemengd stelsel+BB-basin</v>
      </c>
      <c r="C154" s="94">
        <f>4.57*invulblad!$H14*invulblad!K14</f>
        <v>0</v>
      </c>
      <c r="D154" s="94">
        <f>4.57*invulblad!$H14*invulblad!L14</f>
        <v>0</v>
      </c>
      <c r="E154" s="94">
        <f>4.57*invulblad!$H14*invulblad!M14</f>
        <v>0</v>
      </c>
      <c r="F154" s="94">
        <f>4.57*invulblad!$H14*invulblad!N14</f>
        <v>0</v>
      </c>
      <c r="G154" s="94">
        <f>4.57*invulblad!$H14*invulblad!O14</f>
        <v>0</v>
      </c>
      <c r="H154" s="94">
        <f>4.57*invulblad!$H14*invulblad!P14</f>
        <v>0</v>
      </c>
      <c r="I154" s="94">
        <f>4.57*invulblad!$H14*invulblad!Q14</f>
        <v>0</v>
      </c>
      <c r="J154" s="94">
        <f>4.57*invulblad!$H14*invulblad!R14</f>
        <v>0</v>
      </c>
      <c r="K154" s="94">
        <f>4.57*invulblad!$H14*invulblad!S14</f>
        <v>0</v>
      </c>
      <c r="L154" s="94">
        <f>4.57*invulblad!$H14*invulblad!T14</f>
        <v>0</v>
      </c>
      <c r="M154" s="94">
        <f>4.57*invulblad!$H14*invulblad!U14</f>
        <v>0</v>
      </c>
      <c r="N154" s="94">
        <f>4.57*invulblad!$H14*invulblad!V14</f>
        <v>0</v>
      </c>
      <c r="P154" s="263" t="str">
        <f>B154</f>
        <v>overstort gemengd stelsel+BB-basin</v>
      </c>
      <c r="Q154" s="262">
        <f>C154/invulblad!K$59</f>
        <v>0</v>
      </c>
      <c r="R154" s="262" t="e">
        <f>D154/invulblad!L$59</f>
        <v>#VALUE!</v>
      </c>
      <c r="S154" s="262" t="e">
        <f>E154/invulblad!M$59</f>
        <v>#VALUE!</v>
      </c>
      <c r="T154" s="262" t="e">
        <f>F154/invulblad!N$59</f>
        <v>#VALUE!</v>
      </c>
      <c r="U154" s="262" t="e">
        <f>G154/invulblad!O$59</f>
        <v>#VALUE!</v>
      </c>
      <c r="V154" s="262" t="e">
        <f>H154/invulblad!P$59</f>
        <v>#VALUE!</v>
      </c>
      <c r="W154" s="262" t="e">
        <f>I154/invulblad!Q$59</f>
        <v>#VALUE!</v>
      </c>
      <c r="X154" s="262" t="e">
        <f>J154/invulblad!R$59</f>
        <v>#VALUE!</v>
      </c>
      <c r="Y154" s="262" t="e">
        <f>K154/invulblad!S$59</f>
        <v>#VALUE!</v>
      </c>
      <c r="Z154" s="262" t="e">
        <f>L154/invulblad!T$59</f>
        <v>#VALUE!</v>
      </c>
      <c r="AA154" s="262" t="e">
        <f>M154/invulblad!U$59</f>
        <v>#VALUE!</v>
      </c>
      <c r="AB154" s="262" t="e">
        <f>N154/invulblad!V$59</f>
        <v>#VALUE!</v>
      </c>
    </row>
    <row r="155" spans="1:28" x14ac:dyDescent="0.2">
      <c r="A155" s="93">
        <f t="shared" ref="A155:B155" si="51">A133</f>
        <v>3</v>
      </c>
      <c r="B155" s="93" t="str">
        <f t="shared" si="51"/>
        <v>DWA-nooduitlaat</v>
      </c>
      <c r="C155" s="94">
        <f>4.57*invulblad!$H16*invulblad!K16</f>
        <v>0</v>
      </c>
      <c r="D155" s="94">
        <f>4.57*invulblad!$H16*invulblad!L16</f>
        <v>0</v>
      </c>
      <c r="E155" s="94">
        <f>4.57*invulblad!$H16*invulblad!M16</f>
        <v>0</v>
      </c>
      <c r="F155" s="94">
        <f>4.57*invulblad!$H16*invulblad!N16</f>
        <v>0</v>
      </c>
      <c r="G155" s="94">
        <f>4.57*invulblad!$H16*invulblad!O16</f>
        <v>0</v>
      </c>
      <c r="H155" s="94">
        <f>4.57*invulblad!$H16*invulblad!P16</f>
        <v>0</v>
      </c>
      <c r="I155" s="94">
        <f>4.57*invulblad!$H16*invulblad!Q16</f>
        <v>0</v>
      </c>
      <c r="J155" s="94">
        <f>4.57*invulblad!$H16*invulblad!R16</f>
        <v>0</v>
      </c>
      <c r="K155" s="94">
        <f>4.57*invulblad!$H16*invulblad!S16</f>
        <v>0</v>
      </c>
      <c r="L155" s="94">
        <f>4.57*invulblad!$H16*invulblad!T16</f>
        <v>0</v>
      </c>
      <c r="M155" s="94">
        <f>4.57*invulblad!$H16*invulblad!U16</f>
        <v>0</v>
      </c>
      <c r="N155" s="94">
        <f>4.57*invulblad!$H16*invulblad!V16</f>
        <v>0</v>
      </c>
      <c r="P155" s="263" t="str">
        <f t="shared" ref="P155:P170" si="52">B155</f>
        <v>DWA-nooduitlaat</v>
      </c>
      <c r="Q155" s="262">
        <f>C155/invulblad!K$59</f>
        <v>0</v>
      </c>
      <c r="R155" s="262" t="e">
        <f>D155/invulblad!L$59</f>
        <v>#VALUE!</v>
      </c>
      <c r="S155" s="262" t="e">
        <f>E155/invulblad!M$59</f>
        <v>#VALUE!</v>
      </c>
      <c r="T155" s="262" t="e">
        <f>F155/invulblad!N$59</f>
        <v>#VALUE!</v>
      </c>
      <c r="U155" s="262" t="e">
        <f>G155/invulblad!O$59</f>
        <v>#VALUE!</v>
      </c>
      <c r="V155" s="262" t="e">
        <f>H155/invulblad!P$59</f>
        <v>#VALUE!</v>
      </c>
      <c r="W155" s="262" t="e">
        <f>I155/invulblad!Q$59</f>
        <v>#VALUE!</v>
      </c>
      <c r="X155" s="262" t="e">
        <f>J155/invulblad!R$59</f>
        <v>#VALUE!</v>
      </c>
      <c r="Y155" s="262" t="e">
        <f>K155/invulblad!S$59</f>
        <v>#VALUE!</v>
      </c>
      <c r="Z155" s="262" t="e">
        <f>L155/invulblad!T$59</f>
        <v>#VALUE!</v>
      </c>
      <c r="AA155" s="262" t="e">
        <f>M155/invulblad!U$59</f>
        <v>#VALUE!</v>
      </c>
      <c r="AB155" s="262" t="e">
        <f>N155/invulblad!V$59</f>
        <v>#VALUE!</v>
      </c>
    </row>
    <row r="156" spans="1:28" x14ac:dyDescent="0.2">
      <c r="A156" s="93">
        <f t="shared" ref="A156:B156" si="53">A134</f>
        <v>4</v>
      </c>
      <c r="B156" s="93" t="str">
        <f t="shared" si="53"/>
        <v>RWZI effluent</v>
      </c>
      <c r="C156" s="94">
        <f>4.57*invulblad!$H20*invulblad!K20</f>
        <v>0</v>
      </c>
      <c r="D156" s="94">
        <f>4.57*invulblad!$H20*invulblad!L20</f>
        <v>0</v>
      </c>
      <c r="E156" s="94">
        <f>4.57*invulblad!$H20*invulblad!M20</f>
        <v>0</v>
      </c>
      <c r="F156" s="94">
        <f>4.57*invulblad!$H20*invulblad!N20</f>
        <v>0</v>
      </c>
      <c r="G156" s="94">
        <f>4.57*invulblad!$H20*invulblad!O20</f>
        <v>0</v>
      </c>
      <c r="H156" s="94">
        <f>4.57*invulblad!$H20*invulblad!P20</f>
        <v>0</v>
      </c>
      <c r="I156" s="94">
        <f>4.57*invulblad!$H20*invulblad!Q20</f>
        <v>0</v>
      </c>
      <c r="J156" s="94">
        <f>4.57*invulblad!$H20*invulblad!R20</f>
        <v>0</v>
      </c>
      <c r="K156" s="94">
        <f>4.57*invulblad!$H20*invulblad!S20</f>
        <v>0</v>
      </c>
      <c r="L156" s="94">
        <f>4.57*invulblad!$H20*invulblad!T20</f>
        <v>0</v>
      </c>
      <c r="M156" s="94">
        <f>4.57*invulblad!$H20*invulblad!U20</f>
        <v>0</v>
      </c>
      <c r="N156" s="94">
        <f>4.57*invulblad!$H20*invulblad!V20</f>
        <v>0</v>
      </c>
      <c r="P156" s="263" t="str">
        <f t="shared" si="52"/>
        <v>RWZI effluent</v>
      </c>
      <c r="Q156" s="262">
        <f>C156/invulblad!K$59</f>
        <v>0</v>
      </c>
      <c r="R156" s="262" t="e">
        <f>D156/invulblad!L$59</f>
        <v>#VALUE!</v>
      </c>
      <c r="S156" s="262" t="e">
        <f>E156/invulblad!M$59</f>
        <v>#VALUE!</v>
      </c>
      <c r="T156" s="262" t="e">
        <f>F156/invulblad!N$59</f>
        <v>#VALUE!</v>
      </c>
      <c r="U156" s="262" t="e">
        <f>G156/invulblad!O$59</f>
        <v>#VALUE!</v>
      </c>
      <c r="V156" s="262" t="e">
        <f>H156/invulblad!P$59</f>
        <v>#VALUE!</v>
      </c>
      <c r="W156" s="262" t="e">
        <f>I156/invulblad!Q$59</f>
        <v>#VALUE!</v>
      </c>
      <c r="X156" s="262" t="e">
        <f>J156/invulblad!R$59</f>
        <v>#VALUE!</v>
      </c>
      <c r="Y156" s="262" t="e">
        <f>K156/invulblad!S$59</f>
        <v>#VALUE!</v>
      </c>
      <c r="Z156" s="262" t="e">
        <f>L156/invulblad!T$59</f>
        <v>#VALUE!</v>
      </c>
      <c r="AA156" s="262" t="e">
        <f>M156/invulblad!U$59</f>
        <v>#VALUE!</v>
      </c>
      <c r="AB156" s="262" t="e">
        <f>N156/invulblad!V$59</f>
        <v>#VALUE!</v>
      </c>
    </row>
    <row r="157" spans="1:28" x14ac:dyDescent="0.2">
      <c r="A157" s="93">
        <f t="shared" ref="A157:B157" si="54">A135</f>
        <v>5</v>
      </c>
      <c r="B157" s="93" t="str">
        <f t="shared" si="54"/>
        <v>hemelwaterafvoer</v>
      </c>
      <c r="C157" s="94">
        <f>4.57*invulblad!$H21*invulblad!K21</f>
        <v>0</v>
      </c>
      <c r="D157" s="94">
        <f>4.57*invulblad!$H21*invulblad!L21</f>
        <v>0</v>
      </c>
      <c r="E157" s="94">
        <f>4.57*invulblad!$H21*invulblad!M21</f>
        <v>0</v>
      </c>
      <c r="F157" s="94">
        <f>4.57*invulblad!$H21*invulblad!N21</f>
        <v>0</v>
      </c>
      <c r="G157" s="94">
        <f>4.57*invulblad!$H21*invulblad!O21</f>
        <v>0</v>
      </c>
      <c r="H157" s="94">
        <f>4.57*invulblad!$H21*invulblad!P21</f>
        <v>0</v>
      </c>
      <c r="I157" s="94">
        <f>4.57*invulblad!$H21*invulblad!Q21</f>
        <v>0</v>
      </c>
      <c r="J157" s="94">
        <f>4.57*invulblad!$H21*invulblad!R21</f>
        <v>0</v>
      </c>
      <c r="K157" s="94">
        <f>4.57*invulblad!$H21*invulblad!S21</f>
        <v>0</v>
      </c>
      <c r="L157" s="94">
        <f>4.57*invulblad!$H21*invulblad!T21</f>
        <v>0</v>
      </c>
      <c r="M157" s="94">
        <f>4.57*invulblad!$H21*invulblad!U21</f>
        <v>0</v>
      </c>
      <c r="N157" s="94">
        <f>4.57*invulblad!$H21*invulblad!V21</f>
        <v>0</v>
      </c>
      <c r="P157" s="263" t="str">
        <f t="shared" si="52"/>
        <v>hemelwaterafvoer</v>
      </c>
      <c r="Q157" s="262">
        <f>C157/invulblad!K$59</f>
        <v>0</v>
      </c>
      <c r="R157" s="262" t="e">
        <f>D157/invulblad!L$59</f>
        <v>#VALUE!</v>
      </c>
      <c r="S157" s="262" t="e">
        <f>E157/invulblad!M$59</f>
        <v>#VALUE!</v>
      </c>
      <c r="T157" s="262" t="e">
        <f>F157/invulblad!N$59</f>
        <v>#VALUE!</v>
      </c>
      <c r="U157" s="262" t="e">
        <f>G157/invulblad!O$59</f>
        <v>#VALUE!</v>
      </c>
      <c r="V157" s="262" t="e">
        <f>H157/invulblad!P$59</f>
        <v>#VALUE!</v>
      </c>
      <c r="W157" s="262" t="e">
        <f>I157/invulblad!Q$59</f>
        <v>#VALUE!</v>
      </c>
      <c r="X157" s="262" t="e">
        <f>J157/invulblad!R$59</f>
        <v>#VALUE!</v>
      </c>
      <c r="Y157" s="262" t="e">
        <f>K157/invulblad!S$59</f>
        <v>#VALUE!</v>
      </c>
      <c r="Z157" s="262" t="e">
        <f>L157/invulblad!T$59</f>
        <v>#VALUE!</v>
      </c>
      <c r="AA157" s="262" t="e">
        <f>M157/invulblad!U$59</f>
        <v>#VALUE!</v>
      </c>
      <c r="AB157" s="262" t="e">
        <f>N157/invulblad!V$59</f>
        <v>#VALUE!</v>
      </c>
    </row>
    <row r="158" spans="1:28" x14ac:dyDescent="0.2">
      <c r="A158" s="93">
        <f t="shared" ref="A158:B158" si="55">A136</f>
        <v>6</v>
      </c>
      <c r="B158" s="93" t="str">
        <f t="shared" si="55"/>
        <v>septic tanks</v>
      </c>
      <c r="C158" s="94">
        <f>4.57*invulblad!$H22*invulblad!K22</f>
        <v>0</v>
      </c>
      <c r="D158" s="94">
        <f>4.57*invulblad!$H22*invulblad!L22</f>
        <v>0</v>
      </c>
      <c r="E158" s="94">
        <f>4.57*invulblad!$H22*invulblad!M22</f>
        <v>0</v>
      </c>
      <c r="F158" s="94">
        <f>4.57*invulblad!$H22*invulblad!N22</f>
        <v>0</v>
      </c>
      <c r="G158" s="94">
        <f>4.57*invulblad!$H22*invulblad!O22</f>
        <v>0</v>
      </c>
      <c r="H158" s="94">
        <f>4.57*invulblad!$H22*invulblad!P22</f>
        <v>0</v>
      </c>
      <c r="I158" s="94">
        <f>4.57*invulblad!$H22*invulblad!Q22</f>
        <v>0</v>
      </c>
      <c r="J158" s="94">
        <f>4.57*invulblad!$H22*invulblad!R22</f>
        <v>0</v>
      </c>
      <c r="K158" s="94">
        <f>4.57*invulblad!$H22*invulblad!S22</f>
        <v>0</v>
      </c>
      <c r="L158" s="94">
        <f>4.57*invulblad!$H22*invulblad!T22</f>
        <v>0</v>
      </c>
      <c r="M158" s="94">
        <f>4.57*invulblad!$H22*invulblad!U22</f>
        <v>0</v>
      </c>
      <c r="N158" s="94">
        <f>4.57*invulblad!$H22*invulblad!V22</f>
        <v>0</v>
      </c>
      <c r="P158" s="263" t="str">
        <f t="shared" si="52"/>
        <v>septic tanks</v>
      </c>
      <c r="Q158" s="262">
        <f>C158/invulblad!K$59</f>
        <v>0</v>
      </c>
      <c r="R158" s="262" t="e">
        <f>D158/invulblad!L$59</f>
        <v>#VALUE!</v>
      </c>
      <c r="S158" s="262" t="e">
        <f>E158/invulblad!M$59</f>
        <v>#VALUE!</v>
      </c>
      <c r="T158" s="262" t="e">
        <f>F158/invulblad!N$59</f>
        <v>#VALUE!</v>
      </c>
      <c r="U158" s="262" t="e">
        <f>G158/invulblad!O$59</f>
        <v>#VALUE!</v>
      </c>
      <c r="V158" s="262" t="e">
        <f>H158/invulblad!P$59</f>
        <v>#VALUE!</v>
      </c>
      <c r="W158" s="262" t="e">
        <f>I158/invulblad!Q$59</f>
        <v>#VALUE!</v>
      </c>
      <c r="X158" s="262" t="e">
        <f>J158/invulblad!R$59</f>
        <v>#VALUE!</v>
      </c>
      <c r="Y158" s="262" t="e">
        <f>K158/invulblad!S$59</f>
        <v>#VALUE!</v>
      </c>
      <c r="Z158" s="262" t="e">
        <f>L158/invulblad!T$59</f>
        <v>#VALUE!</v>
      </c>
      <c r="AA158" s="262" t="e">
        <f>M158/invulblad!U$59</f>
        <v>#VALUE!</v>
      </c>
      <c r="AB158" s="262" t="e">
        <f>N158/invulblad!V$59</f>
        <v>#VALUE!</v>
      </c>
    </row>
    <row r="159" spans="1:28" x14ac:dyDescent="0.2">
      <c r="A159" s="93">
        <f t="shared" ref="A159:B159" si="56">A137</f>
        <v>7</v>
      </c>
      <c r="B159" s="93" t="str">
        <f t="shared" si="56"/>
        <v>IBA's</v>
      </c>
      <c r="C159" s="94">
        <f>4.57*invulblad!$H23*invulblad!K23</f>
        <v>68.550000000000011</v>
      </c>
      <c r="D159" s="94">
        <f>4.57*invulblad!$H23*invulblad!L23</f>
        <v>0</v>
      </c>
      <c r="E159" s="94">
        <f>4.57*invulblad!$H23*invulblad!M23</f>
        <v>0</v>
      </c>
      <c r="F159" s="94">
        <f>4.57*invulblad!$H23*invulblad!N23</f>
        <v>0</v>
      </c>
      <c r="G159" s="94">
        <f>4.57*invulblad!$H23*invulblad!O23</f>
        <v>0</v>
      </c>
      <c r="H159" s="94">
        <f>4.57*invulblad!$H23*invulblad!P23</f>
        <v>0</v>
      </c>
      <c r="I159" s="94">
        <f>4.57*invulblad!$H23*invulblad!Q23</f>
        <v>0</v>
      </c>
      <c r="J159" s="94">
        <f>4.57*invulblad!$H23*invulblad!R23</f>
        <v>0</v>
      </c>
      <c r="K159" s="94">
        <f>4.57*invulblad!$H23*invulblad!S23</f>
        <v>0</v>
      </c>
      <c r="L159" s="94">
        <f>4.57*invulblad!$H23*invulblad!T23</f>
        <v>0</v>
      </c>
      <c r="M159" s="94">
        <f>4.57*invulblad!$H23*invulblad!U23</f>
        <v>0</v>
      </c>
      <c r="N159" s="94">
        <f>4.57*invulblad!$H23*invulblad!V23</f>
        <v>0</v>
      </c>
      <c r="P159" s="263" t="str">
        <f t="shared" si="52"/>
        <v>IBA's</v>
      </c>
      <c r="Q159" s="262">
        <f>C159/invulblad!K$59</f>
        <v>4.2843750000000007E-2</v>
      </c>
      <c r="R159" s="262" t="e">
        <f>D159/invulblad!L$59</f>
        <v>#VALUE!</v>
      </c>
      <c r="S159" s="262" t="e">
        <f>E159/invulblad!M$59</f>
        <v>#VALUE!</v>
      </c>
      <c r="T159" s="262" t="e">
        <f>F159/invulblad!N$59</f>
        <v>#VALUE!</v>
      </c>
      <c r="U159" s="262" t="e">
        <f>G159/invulblad!O$59</f>
        <v>#VALUE!</v>
      </c>
      <c r="V159" s="262" t="e">
        <f>H159/invulblad!P$59</f>
        <v>#VALUE!</v>
      </c>
      <c r="W159" s="262" t="e">
        <f>I159/invulblad!Q$59</f>
        <v>#VALUE!</v>
      </c>
      <c r="X159" s="262" t="e">
        <f>J159/invulblad!R$59</f>
        <v>#VALUE!</v>
      </c>
      <c r="Y159" s="262" t="e">
        <f>K159/invulblad!S$59</f>
        <v>#VALUE!</v>
      </c>
      <c r="Z159" s="262" t="e">
        <f>L159/invulblad!T$59</f>
        <v>#VALUE!</v>
      </c>
      <c r="AA159" s="262" t="e">
        <f>M159/invulblad!U$59</f>
        <v>#VALUE!</v>
      </c>
      <c r="AB159" s="262" t="e">
        <f>N159/invulblad!V$59</f>
        <v>#VALUE!</v>
      </c>
    </row>
    <row r="160" spans="1:28" x14ac:dyDescent="0.2">
      <c r="A160" s="93">
        <f t="shared" ref="A160:B160" si="57">A138</f>
        <v>8</v>
      </c>
      <c r="B160" s="93" t="str">
        <f t="shared" si="57"/>
        <v>bladval loofbomen</v>
      </c>
      <c r="C160" s="94">
        <f>4.57*invulblad!$H24*invulblad!K24</f>
        <v>0</v>
      </c>
      <c r="D160" s="94">
        <f>4.57*invulblad!$H24*invulblad!L24</f>
        <v>0</v>
      </c>
      <c r="E160" s="94">
        <f>4.57*invulblad!$H24*invulblad!M24</f>
        <v>0</v>
      </c>
      <c r="F160" s="94">
        <f>4.57*invulblad!$H24*invulblad!N24</f>
        <v>0</v>
      </c>
      <c r="G160" s="94">
        <f>4.57*invulblad!$H24*invulblad!O24</f>
        <v>0</v>
      </c>
      <c r="H160" s="94">
        <f>4.57*invulblad!$H24*invulblad!P24</f>
        <v>0</v>
      </c>
      <c r="I160" s="94">
        <f>4.57*invulblad!$H24*invulblad!Q24</f>
        <v>0</v>
      </c>
      <c r="J160" s="94">
        <f>4.57*invulblad!$H24*invulblad!R24</f>
        <v>0</v>
      </c>
      <c r="K160" s="94">
        <f>4.57*invulblad!$H24*invulblad!S24</f>
        <v>0</v>
      </c>
      <c r="L160" s="94">
        <f>4.57*invulblad!$H24*invulblad!T24</f>
        <v>0</v>
      </c>
      <c r="M160" s="94">
        <f>4.57*invulblad!$H24*invulblad!U24</f>
        <v>0</v>
      </c>
      <c r="N160" s="94">
        <f>4.57*invulblad!$H24*invulblad!V24</f>
        <v>0</v>
      </c>
      <c r="P160" s="263" t="str">
        <f t="shared" si="52"/>
        <v>bladval loofbomen</v>
      </c>
      <c r="Q160" s="262">
        <f>C160/invulblad!K$59</f>
        <v>0</v>
      </c>
      <c r="R160" s="262" t="e">
        <f>D160/invulblad!L$59</f>
        <v>#VALUE!</v>
      </c>
      <c r="S160" s="262" t="e">
        <f>E160/invulblad!M$59</f>
        <v>#VALUE!</v>
      </c>
      <c r="T160" s="262" t="e">
        <f>F160/invulblad!N$59</f>
        <v>#VALUE!</v>
      </c>
      <c r="U160" s="262" t="e">
        <f>G160/invulblad!O$59</f>
        <v>#VALUE!</v>
      </c>
      <c r="V160" s="262" t="e">
        <f>H160/invulblad!P$59</f>
        <v>#VALUE!</v>
      </c>
      <c r="W160" s="262" t="e">
        <f>I160/invulblad!Q$59</f>
        <v>#VALUE!</v>
      </c>
      <c r="X160" s="262" t="e">
        <f>J160/invulblad!R$59</f>
        <v>#VALUE!</v>
      </c>
      <c r="Y160" s="262" t="e">
        <f>K160/invulblad!S$59</f>
        <v>#VALUE!</v>
      </c>
      <c r="Z160" s="262" t="e">
        <f>L160/invulblad!T$59</f>
        <v>#VALUE!</v>
      </c>
      <c r="AA160" s="262" t="e">
        <f>M160/invulblad!U$59</f>
        <v>#VALUE!</v>
      </c>
      <c r="AB160" s="262" t="e">
        <f>N160/invulblad!V$59</f>
        <v>#VALUE!</v>
      </c>
    </row>
    <row r="161" spans="1:28" x14ac:dyDescent="0.2">
      <c r="A161" s="93">
        <f t="shared" ref="A161:B161" si="58">A139</f>
        <v>9</v>
      </c>
      <c r="B161" s="93" t="str">
        <f t="shared" si="58"/>
        <v>bladval naaldbomen</v>
      </c>
      <c r="C161" s="94">
        <f>4.57*invulblad!$H25*invulblad!K25</f>
        <v>0</v>
      </c>
      <c r="D161" s="94">
        <f>4.57*invulblad!$H25*invulblad!L25</f>
        <v>0</v>
      </c>
      <c r="E161" s="94">
        <f>4.57*invulblad!$H25*invulblad!M25</f>
        <v>0</v>
      </c>
      <c r="F161" s="94">
        <f>4.57*invulblad!$H25*invulblad!N25</f>
        <v>0</v>
      </c>
      <c r="G161" s="94">
        <f>4.57*invulblad!$H25*invulblad!O25</f>
        <v>0</v>
      </c>
      <c r="H161" s="94">
        <f>4.57*invulblad!$H25*invulblad!P25</f>
        <v>0</v>
      </c>
      <c r="I161" s="94">
        <f>4.57*invulblad!$H25*invulblad!Q25</f>
        <v>0</v>
      </c>
      <c r="J161" s="94">
        <f>4.57*invulblad!$H25*invulblad!R25</f>
        <v>0</v>
      </c>
      <c r="K161" s="94">
        <f>4.57*invulblad!$H25*invulblad!S25</f>
        <v>0</v>
      </c>
      <c r="L161" s="94">
        <f>4.57*invulblad!$H25*invulblad!T25</f>
        <v>0</v>
      </c>
      <c r="M161" s="94">
        <f>4.57*invulblad!$H25*invulblad!U25</f>
        <v>0</v>
      </c>
      <c r="N161" s="94">
        <f>4.57*invulblad!$H25*invulblad!V25</f>
        <v>0</v>
      </c>
      <c r="P161" s="263" t="str">
        <f t="shared" si="52"/>
        <v>bladval naaldbomen</v>
      </c>
      <c r="Q161" s="262">
        <f>C161/invulblad!K$59</f>
        <v>0</v>
      </c>
      <c r="R161" s="262" t="e">
        <f>D161/invulblad!L$59</f>
        <v>#VALUE!</v>
      </c>
      <c r="S161" s="262" t="e">
        <f>E161/invulblad!M$59</f>
        <v>#VALUE!</v>
      </c>
      <c r="T161" s="262" t="e">
        <f>F161/invulblad!N$59</f>
        <v>#VALUE!</v>
      </c>
      <c r="U161" s="262" t="e">
        <f>G161/invulblad!O$59</f>
        <v>#VALUE!</v>
      </c>
      <c r="V161" s="262" t="e">
        <f>H161/invulblad!P$59</f>
        <v>#VALUE!</v>
      </c>
      <c r="W161" s="262" t="e">
        <f>I161/invulblad!Q$59</f>
        <v>#VALUE!</v>
      </c>
      <c r="X161" s="262" t="e">
        <f>J161/invulblad!R$59</f>
        <v>#VALUE!</v>
      </c>
      <c r="Y161" s="262" t="e">
        <f>K161/invulblad!S$59</f>
        <v>#VALUE!</v>
      </c>
      <c r="Z161" s="262" t="e">
        <f>L161/invulblad!T$59</f>
        <v>#VALUE!</v>
      </c>
      <c r="AA161" s="262" t="e">
        <f>M161/invulblad!U$59</f>
        <v>#VALUE!</v>
      </c>
      <c r="AB161" s="262" t="e">
        <f>N161/invulblad!V$59</f>
        <v>#VALUE!</v>
      </c>
    </row>
    <row r="162" spans="1:28" x14ac:dyDescent="0.2">
      <c r="A162" s="93">
        <f t="shared" ref="A162:B162" si="59">A140</f>
        <v>10</v>
      </c>
      <c r="B162" s="93" t="str">
        <f t="shared" si="59"/>
        <v>hondenpoep</v>
      </c>
      <c r="C162" s="94">
        <f>4.57*invulblad!$H26*invulblad!K26+4.57*invulblad!$H27*invulblad!K27+4.57*invulblad!$H28*invulblad!K28</f>
        <v>0</v>
      </c>
      <c r="D162" s="94">
        <f>4.57*invulblad!$H26*invulblad!L26+4.57*invulblad!$H27*invulblad!L27+4.57*invulblad!$H28*invulblad!L28</f>
        <v>0</v>
      </c>
      <c r="E162" s="94">
        <f>4.57*invulblad!$H26*invulblad!M26+4.57*invulblad!$H27*invulblad!M27+4.57*invulblad!$H28*invulblad!M28</f>
        <v>0</v>
      </c>
      <c r="F162" s="94">
        <f>4.57*invulblad!$H26*invulblad!N26+4.57*invulblad!$H27*invulblad!N27+4.57*invulblad!$H28*invulblad!N28</f>
        <v>0</v>
      </c>
      <c r="G162" s="94">
        <f>4.57*invulblad!$H26*invulblad!O26+4.57*invulblad!$H27*invulblad!O27+4.57*invulblad!$H28*invulblad!O28</f>
        <v>0</v>
      </c>
      <c r="H162" s="94">
        <f>4.57*invulblad!$H26*invulblad!P26+4.57*invulblad!$H27*invulblad!P27+4.57*invulblad!$H28*invulblad!P28</f>
        <v>0</v>
      </c>
      <c r="I162" s="94">
        <f>4.57*invulblad!$H26*invulblad!Q26+4.57*invulblad!$H27*invulblad!Q27+4.57*invulblad!$H28*invulblad!Q28</f>
        <v>0</v>
      </c>
      <c r="J162" s="94">
        <f>4.57*invulblad!$H26*invulblad!R26+4.57*invulblad!$H27*invulblad!R27+4.57*invulblad!$H28*invulblad!R28</f>
        <v>0</v>
      </c>
      <c r="K162" s="94">
        <f>4.57*invulblad!$H26*invulblad!S26+4.57*invulblad!$H27*invulblad!S27+4.57*invulblad!$H28*invulblad!S28</f>
        <v>0</v>
      </c>
      <c r="L162" s="94">
        <f>4.57*invulblad!$H26*invulblad!T26+4.57*invulblad!$H27*invulblad!T27+4.57*invulblad!$H28*invulblad!T28</f>
        <v>0</v>
      </c>
      <c r="M162" s="94">
        <f>4.57*invulblad!$H26*invulblad!U26+4.57*invulblad!$H27*invulblad!U27+4.57*invulblad!$H28*invulblad!U28</f>
        <v>0</v>
      </c>
      <c r="N162" s="94">
        <f>4.57*invulblad!$H26*invulblad!V26+4.57*invulblad!$H27*invulblad!V27+4.57*invulblad!$H28*invulblad!V28</f>
        <v>0</v>
      </c>
      <c r="P162" s="263" t="str">
        <f t="shared" si="52"/>
        <v>hondenpoep</v>
      </c>
      <c r="Q162" s="262">
        <f>C162/invulblad!K$59</f>
        <v>0</v>
      </c>
      <c r="R162" s="262" t="e">
        <f>D162/invulblad!L$59</f>
        <v>#VALUE!</v>
      </c>
      <c r="S162" s="262" t="e">
        <f>E162/invulblad!M$59</f>
        <v>#VALUE!</v>
      </c>
      <c r="T162" s="262" t="e">
        <f>F162/invulblad!N$59</f>
        <v>#VALUE!</v>
      </c>
      <c r="U162" s="262" t="e">
        <f>G162/invulblad!O$59</f>
        <v>#VALUE!</v>
      </c>
      <c r="V162" s="262" t="e">
        <f>H162/invulblad!P$59</f>
        <v>#VALUE!</v>
      </c>
      <c r="W162" s="262" t="e">
        <f>I162/invulblad!Q$59</f>
        <v>#VALUE!</v>
      </c>
      <c r="X162" s="262" t="e">
        <f>J162/invulblad!R$59</f>
        <v>#VALUE!</v>
      </c>
      <c r="Y162" s="262" t="e">
        <f>K162/invulblad!S$59</f>
        <v>#VALUE!</v>
      </c>
      <c r="Z162" s="262" t="e">
        <f>L162/invulblad!T$59</f>
        <v>#VALUE!</v>
      </c>
      <c r="AA162" s="262" t="e">
        <f>M162/invulblad!U$59</f>
        <v>#VALUE!</v>
      </c>
      <c r="AB162" s="262" t="e">
        <f>N162/invulblad!V$59</f>
        <v>#VALUE!</v>
      </c>
    </row>
    <row r="163" spans="1:28" x14ac:dyDescent="0.2">
      <c r="A163" s="93">
        <f t="shared" ref="A163:B163" si="60">A141</f>
        <v>11</v>
      </c>
      <c r="B163" s="93" t="str">
        <f t="shared" si="60"/>
        <v>voeren vogels</v>
      </c>
      <c r="C163" s="94">
        <f>4.57*invulblad!$H29*invulblad!K29+4.57*invulblad!$H30*invulblad!K30+4.57*invulblad!$H31*invulblad!K31</f>
        <v>0</v>
      </c>
      <c r="D163" s="94">
        <f>4.57*invulblad!$H29*invulblad!L29+4.57*invulblad!$H30*invulblad!L30+4.57*invulblad!$H31*invulblad!L31</f>
        <v>0</v>
      </c>
      <c r="E163" s="94">
        <f>4.57*invulblad!$H29*invulblad!M29+4.57*invulblad!$H30*invulblad!M30+4.57*invulblad!$H31*invulblad!M31</f>
        <v>0</v>
      </c>
      <c r="F163" s="94">
        <f>4.57*invulblad!$H29*invulblad!N29+4.57*invulblad!$H30*invulblad!N30+4.57*invulblad!$H31*invulblad!N31</f>
        <v>0</v>
      </c>
      <c r="G163" s="94">
        <f>4.57*invulblad!$H29*invulblad!O29+4.57*invulblad!$H30*invulblad!O30+4.57*invulblad!$H31*invulblad!O31</f>
        <v>0</v>
      </c>
      <c r="H163" s="94">
        <f>4.57*invulblad!$H29*invulblad!P29+4.57*invulblad!$H30*invulblad!P30+4.57*invulblad!$H31*invulblad!P31</f>
        <v>0</v>
      </c>
      <c r="I163" s="94">
        <f>4.57*invulblad!$H29*invulblad!Q29+4.57*invulblad!$H30*invulblad!Q30+4.57*invulblad!$H31*invulblad!Q31</f>
        <v>0</v>
      </c>
      <c r="J163" s="94">
        <f>4.57*invulblad!$H29*invulblad!R29+4.57*invulblad!$H30*invulblad!R30+4.57*invulblad!$H31*invulblad!R31</f>
        <v>0</v>
      </c>
      <c r="K163" s="94">
        <f>4.57*invulblad!$H29*invulblad!S29+4.57*invulblad!$H30*invulblad!S30+4.57*invulblad!$H31*invulblad!S31</f>
        <v>0</v>
      </c>
      <c r="L163" s="94">
        <f>4.57*invulblad!$H29*invulblad!T29+4.57*invulblad!$H30*invulblad!T30+4.57*invulblad!$H31*invulblad!T31</f>
        <v>0</v>
      </c>
      <c r="M163" s="94">
        <f>4.57*invulblad!$H29*invulblad!U29+4.57*invulblad!$H30*invulblad!U30+4.57*invulblad!$H31*invulblad!U31</f>
        <v>0</v>
      </c>
      <c r="N163" s="94">
        <f>4.57*invulblad!$H29*invulblad!V29+4.57*invulblad!$H30*invulblad!V30+4.57*invulblad!$H31*invulblad!V31</f>
        <v>0</v>
      </c>
      <c r="P163" s="263" t="str">
        <f t="shared" si="52"/>
        <v>voeren vogels</v>
      </c>
      <c r="Q163" s="262">
        <f>C163/invulblad!K$59</f>
        <v>0</v>
      </c>
      <c r="R163" s="262" t="e">
        <f>D163/invulblad!L$59</f>
        <v>#VALUE!</v>
      </c>
      <c r="S163" s="262" t="e">
        <f>E163/invulblad!M$59</f>
        <v>#VALUE!</v>
      </c>
      <c r="T163" s="262" t="e">
        <f>F163/invulblad!N$59</f>
        <v>#VALUE!</v>
      </c>
      <c r="U163" s="262" t="e">
        <f>G163/invulblad!O$59</f>
        <v>#VALUE!</v>
      </c>
      <c r="V163" s="262" t="e">
        <f>H163/invulblad!P$59</f>
        <v>#VALUE!</v>
      </c>
      <c r="W163" s="262" t="e">
        <f>I163/invulblad!Q$59</f>
        <v>#VALUE!</v>
      </c>
      <c r="X163" s="262" t="e">
        <f>J163/invulblad!R$59</f>
        <v>#VALUE!</v>
      </c>
      <c r="Y163" s="262" t="e">
        <f>K163/invulblad!S$59</f>
        <v>#VALUE!</v>
      </c>
      <c r="Z163" s="262" t="e">
        <f>L163/invulblad!T$59</f>
        <v>#VALUE!</v>
      </c>
      <c r="AA163" s="262" t="e">
        <f>M163/invulblad!U$59</f>
        <v>#VALUE!</v>
      </c>
      <c r="AB163" s="262" t="e">
        <f>N163/invulblad!V$59</f>
        <v>#VALUE!</v>
      </c>
    </row>
    <row r="164" spans="1:28" x14ac:dyDescent="0.2">
      <c r="A164" s="93">
        <f t="shared" ref="A164:B164" si="61">A142</f>
        <v>12</v>
      </c>
      <c r="B164" s="93" t="str">
        <f t="shared" si="61"/>
        <v>lokvoer vissen</v>
      </c>
      <c r="C164" s="94">
        <f>4.57*invulblad!$H32*invulblad!K32</f>
        <v>0</v>
      </c>
      <c r="D164" s="94">
        <f>4.57*invulblad!$H32*invulblad!L32</f>
        <v>0</v>
      </c>
      <c r="E164" s="94">
        <f>4.57*invulblad!$H32*invulblad!M32</f>
        <v>0</v>
      </c>
      <c r="F164" s="94">
        <f>4.57*invulblad!$H32*invulblad!N32</f>
        <v>0</v>
      </c>
      <c r="G164" s="94">
        <f>4.57*invulblad!$H32*invulblad!O32</f>
        <v>0</v>
      </c>
      <c r="H164" s="94">
        <f>4.57*invulblad!$H32*invulblad!P32</f>
        <v>0</v>
      </c>
      <c r="I164" s="94">
        <f>4.57*invulblad!$H32*invulblad!Q32</f>
        <v>0</v>
      </c>
      <c r="J164" s="94">
        <f>4.57*invulblad!$H32*invulblad!R32</f>
        <v>0</v>
      </c>
      <c r="K164" s="94">
        <f>4.57*invulblad!$H32*invulblad!S32</f>
        <v>0</v>
      </c>
      <c r="L164" s="94">
        <f>4.57*invulblad!$H32*invulblad!T32</f>
        <v>0</v>
      </c>
      <c r="M164" s="94">
        <f>4.57*invulblad!$H32*invulblad!U32</f>
        <v>0</v>
      </c>
      <c r="N164" s="94">
        <f>4.57*invulblad!$H32*invulblad!V32</f>
        <v>0</v>
      </c>
      <c r="P164" s="263" t="str">
        <f t="shared" si="52"/>
        <v>lokvoer vissen</v>
      </c>
      <c r="Q164" s="262">
        <f>C164/invulblad!K$59</f>
        <v>0</v>
      </c>
      <c r="R164" s="262" t="e">
        <f>D164/invulblad!L$59</f>
        <v>#VALUE!</v>
      </c>
      <c r="S164" s="262" t="e">
        <f>E164/invulblad!M$59</f>
        <v>#VALUE!</v>
      </c>
      <c r="T164" s="262" t="e">
        <f>F164/invulblad!N$59</f>
        <v>#VALUE!</v>
      </c>
      <c r="U164" s="262" t="e">
        <f>G164/invulblad!O$59</f>
        <v>#VALUE!</v>
      </c>
      <c r="V164" s="262" t="e">
        <f>H164/invulblad!P$59</f>
        <v>#VALUE!</v>
      </c>
      <c r="W164" s="262" t="e">
        <f>I164/invulblad!Q$59</f>
        <v>#VALUE!</v>
      </c>
      <c r="X164" s="262" t="e">
        <f>J164/invulblad!R$59</f>
        <v>#VALUE!</v>
      </c>
      <c r="Y164" s="262" t="e">
        <f>K164/invulblad!S$59</f>
        <v>#VALUE!</v>
      </c>
      <c r="Z164" s="262" t="e">
        <f>L164/invulblad!T$59</f>
        <v>#VALUE!</v>
      </c>
      <c r="AA164" s="262" t="e">
        <f>M164/invulblad!U$59</f>
        <v>#VALUE!</v>
      </c>
      <c r="AB164" s="262" t="e">
        <f>N164/invulblad!V$59</f>
        <v>#VALUE!</v>
      </c>
    </row>
    <row r="165" spans="1:28" x14ac:dyDescent="0.2">
      <c r="A165" s="93">
        <f t="shared" ref="A165:B165" si="62">A143</f>
        <v>13</v>
      </c>
      <c r="B165" s="93" t="str">
        <f t="shared" si="62"/>
        <v>afspoeling mest</v>
      </c>
      <c r="C165" s="94">
        <f>4.57*invulblad!$H33*invulblad!K33+4.57*invulblad!$H34*invulblad!K34+4.57*invulblad!$H35*invulblad!K35</f>
        <v>0</v>
      </c>
      <c r="D165" s="94">
        <f>4.57*invulblad!$H33*invulblad!L33+4.57*invulblad!$H34*invulblad!L34+4.57*invulblad!$H35*invulblad!L35</f>
        <v>0</v>
      </c>
      <c r="E165" s="94">
        <f>4.57*invulblad!$H33*invulblad!M33+4.57*invulblad!$H34*invulblad!M34+4.57*invulblad!$H35*invulblad!M35</f>
        <v>0</v>
      </c>
      <c r="F165" s="94">
        <f>4.57*invulblad!$H33*invulblad!N33+4.57*invulblad!$H34*invulblad!N34+4.57*invulblad!$H35*invulblad!N35</f>
        <v>0</v>
      </c>
      <c r="G165" s="94">
        <f>4.57*invulblad!$H33*invulblad!O33+4.57*invulblad!$H34*invulblad!O34+4.57*invulblad!$H35*invulblad!O35</f>
        <v>0</v>
      </c>
      <c r="H165" s="94">
        <f>4.57*invulblad!$H33*invulblad!P33+4.57*invulblad!$H34*invulblad!P34+4.57*invulblad!$H35*invulblad!P35</f>
        <v>0</v>
      </c>
      <c r="I165" s="94">
        <f>4.57*invulblad!$H33*invulblad!Q33+4.57*invulblad!$H34*invulblad!Q34+4.57*invulblad!$H35*invulblad!Q35</f>
        <v>0</v>
      </c>
      <c r="J165" s="94">
        <f>4.57*invulblad!$H33*invulblad!R33+4.57*invulblad!$H34*invulblad!R34+4.57*invulblad!$H35*invulblad!R35</f>
        <v>0</v>
      </c>
      <c r="K165" s="94">
        <f>4.57*invulblad!$H33*invulblad!S33+4.57*invulblad!$H34*invulblad!S34+4.57*invulblad!$H35*invulblad!S35</f>
        <v>0</v>
      </c>
      <c r="L165" s="94">
        <f>4.57*invulblad!$H33*invulblad!T33+4.57*invulblad!$H34*invulblad!T34+4.57*invulblad!$H35*invulblad!T35</f>
        <v>0</v>
      </c>
      <c r="M165" s="94">
        <f>4.57*invulblad!$H33*invulblad!U33+4.57*invulblad!$H34*invulblad!U34+4.57*invulblad!$H35*invulblad!U35</f>
        <v>0</v>
      </c>
      <c r="N165" s="94">
        <f>4.57*invulblad!$H33*invulblad!V33+4.57*invulblad!$H34*invulblad!V34+4.57*invulblad!$H35*invulblad!V35</f>
        <v>0</v>
      </c>
      <c r="P165" s="263" t="str">
        <f t="shared" si="52"/>
        <v>afspoeling mest</v>
      </c>
      <c r="Q165" s="262">
        <f>C165/invulblad!K$59</f>
        <v>0</v>
      </c>
      <c r="R165" s="262" t="e">
        <f>D165/invulblad!L$59</f>
        <v>#VALUE!</v>
      </c>
      <c r="S165" s="262" t="e">
        <f>E165/invulblad!M$59</f>
        <v>#VALUE!</v>
      </c>
      <c r="T165" s="262" t="e">
        <f>F165/invulblad!N$59</f>
        <v>#VALUE!</v>
      </c>
      <c r="U165" s="262" t="e">
        <f>G165/invulblad!O$59</f>
        <v>#VALUE!</v>
      </c>
      <c r="V165" s="262" t="e">
        <f>H165/invulblad!P$59</f>
        <v>#VALUE!</v>
      </c>
      <c r="W165" s="262" t="e">
        <f>I165/invulblad!Q$59</f>
        <v>#VALUE!</v>
      </c>
      <c r="X165" s="262" t="e">
        <f>J165/invulblad!R$59</f>
        <v>#VALUE!</v>
      </c>
      <c r="Y165" s="262" t="e">
        <f>K165/invulblad!S$59</f>
        <v>#VALUE!</v>
      </c>
      <c r="Z165" s="262" t="e">
        <f>L165/invulblad!T$59</f>
        <v>#VALUE!</v>
      </c>
      <c r="AA165" s="262" t="e">
        <f>M165/invulblad!U$59</f>
        <v>#VALUE!</v>
      </c>
      <c r="AB165" s="262" t="e">
        <f>N165/invulblad!V$59</f>
        <v>#VALUE!</v>
      </c>
    </row>
    <row r="166" spans="1:28" x14ac:dyDescent="0.2">
      <c r="A166" s="93">
        <f t="shared" ref="A166:B166" si="63">A144</f>
        <v>14</v>
      </c>
      <c r="B166" s="93" t="str">
        <f t="shared" si="63"/>
        <v>aanvoerwater</v>
      </c>
      <c r="C166" s="94">
        <f>IFERROR(4.57*invulblad!K67*invulblad!K82,0)</f>
        <v>109.68000000000002</v>
      </c>
      <c r="D166" s="94">
        <f>IFERROR(4.57*invulblad!L67*invulblad!L82,0)</f>
        <v>0</v>
      </c>
      <c r="E166" s="94">
        <f>IFERROR(4.57*invulblad!M67*invulblad!M82,0)</f>
        <v>0</v>
      </c>
      <c r="F166" s="94">
        <f>IFERROR(4.57*invulblad!N67*invulblad!N82,0)</f>
        <v>0</v>
      </c>
      <c r="G166" s="94">
        <f>IFERROR(4.57*invulblad!O67*invulblad!O82,0)</f>
        <v>0</v>
      </c>
      <c r="H166" s="94">
        <f>IFERROR(4.57*invulblad!P67*invulblad!P82,0)</f>
        <v>0</v>
      </c>
      <c r="I166" s="94">
        <f>IFERROR(4.57*invulblad!Q67*invulblad!Q82,0)</f>
        <v>0</v>
      </c>
      <c r="J166" s="94">
        <f>IFERROR(4.57*invulblad!R67*invulblad!R82,0)</f>
        <v>0</v>
      </c>
      <c r="K166" s="94">
        <f>IFERROR(4.57*invulblad!S67*invulblad!S82,0)</f>
        <v>0</v>
      </c>
      <c r="L166" s="94">
        <f>IFERROR(4.57*invulblad!T67*invulblad!T82,0)</f>
        <v>0</v>
      </c>
      <c r="M166" s="94">
        <f>IFERROR(4.57*invulblad!U67*invulblad!U82,0)</f>
        <v>0</v>
      </c>
      <c r="N166" s="94">
        <f>IFERROR(4.57*invulblad!V67*invulblad!V82,0)</f>
        <v>0</v>
      </c>
      <c r="P166" s="263" t="str">
        <f t="shared" si="52"/>
        <v>aanvoerwater</v>
      </c>
      <c r="Q166" s="262">
        <f>C166/invulblad!K$59</f>
        <v>6.8550000000000014E-2</v>
      </c>
      <c r="R166" s="262" t="e">
        <f>D166/invulblad!L$59</f>
        <v>#VALUE!</v>
      </c>
      <c r="S166" s="262" t="e">
        <f>E166/invulblad!M$59</f>
        <v>#VALUE!</v>
      </c>
      <c r="T166" s="262" t="e">
        <f>F166/invulblad!N$59</f>
        <v>#VALUE!</v>
      </c>
      <c r="U166" s="262" t="e">
        <f>G166/invulblad!O$59</f>
        <v>#VALUE!</v>
      </c>
      <c r="V166" s="262" t="e">
        <f>H166/invulblad!P$59</f>
        <v>#VALUE!</v>
      </c>
      <c r="W166" s="262" t="e">
        <f>I166/invulblad!Q$59</f>
        <v>#VALUE!</v>
      </c>
      <c r="X166" s="262" t="e">
        <f>J166/invulblad!R$59</f>
        <v>#VALUE!</v>
      </c>
      <c r="Y166" s="262" t="e">
        <f>K166/invulblad!S$59</f>
        <v>#VALUE!</v>
      </c>
      <c r="Z166" s="262" t="e">
        <f>L166/invulblad!T$59</f>
        <v>#VALUE!</v>
      </c>
      <c r="AA166" s="262" t="e">
        <f>M166/invulblad!U$59</f>
        <v>#VALUE!</v>
      </c>
      <c r="AB166" s="262" t="e">
        <f>N166/invulblad!V$59</f>
        <v>#VALUE!</v>
      </c>
    </row>
    <row r="167" spans="1:28" x14ac:dyDescent="0.2">
      <c r="A167" s="93">
        <f t="shared" ref="A167:B167" si="64">A145</f>
        <v>15</v>
      </c>
      <c r="B167" s="93" t="str">
        <f t="shared" si="64"/>
        <v>overige bron1</v>
      </c>
      <c r="C167" s="94">
        <f>4.57*invulblad!$H36*invulblad!K36</f>
        <v>0</v>
      </c>
      <c r="D167" s="94">
        <f>4.57*invulblad!$H36*invulblad!L36</f>
        <v>0</v>
      </c>
      <c r="E167" s="94">
        <f>4.57*invulblad!$H36*invulblad!M36</f>
        <v>0</v>
      </c>
      <c r="F167" s="94">
        <f>4.57*invulblad!$H36*invulblad!N36</f>
        <v>0</v>
      </c>
      <c r="G167" s="94">
        <f>4.57*invulblad!$H36*invulblad!O36</f>
        <v>0</v>
      </c>
      <c r="H167" s="94">
        <f>4.57*invulblad!$H36*invulblad!P36</f>
        <v>0</v>
      </c>
      <c r="I167" s="94">
        <f>4.57*invulblad!$H36*invulblad!Q36</f>
        <v>0</v>
      </c>
      <c r="J167" s="94">
        <f>4.57*invulblad!$H36*invulblad!R36</f>
        <v>0</v>
      </c>
      <c r="K167" s="94">
        <f>4.57*invulblad!$H36*invulblad!S36</f>
        <v>0</v>
      </c>
      <c r="L167" s="94">
        <f>4.57*invulblad!$H36*invulblad!T36</f>
        <v>0</v>
      </c>
      <c r="M167" s="94">
        <f>4.57*invulblad!$H36*invulblad!U36</f>
        <v>0</v>
      </c>
      <c r="N167" s="94">
        <f>4.57*invulblad!$H36*invulblad!V36</f>
        <v>0</v>
      </c>
      <c r="P167" s="263" t="str">
        <f t="shared" si="52"/>
        <v>overige bron1</v>
      </c>
      <c r="Q167" s="262">
        <f>C167/invulblad!K$59</f>
        <v>0</v>
      </c>
      <c r="R167" s="262" t="e">
        <f>D167/invulblad!L$59</f>
        <v>#VALUE!</v>
      </c>
      <c r="S167" s="262" t="e">
        <f>E167/invulblad!M$59</f>
        <v>#VALUE!</v>
      </c>
      <c r="T167" s="262" t="e">
        <f>F167/invulblad!N$59</f>
        <v>#VALUE!</v>
      </c>
      <c r="U167" s="262" t="e">
        <f>G167/invulblad!O$59</f>
        <v>#VALUE!</v>
      </c>
      <c r="V167" s="262" t="e">
        <f>H167/invulblad!P$59</f>
        <v>#VALUE!</v>
      </c>
      <c r="W167" s="262" t="e">
        <f>I167/invulblad!Q$59</f>
        <v>#VALUE!</v>
      </c>
      <c r="X167" s="262" t="e">
        <f>J167/invulblad!R$59</f>
        <v>#VALUE!</v>
      </c>
      <c r="Y167" s="262" t="e">
        <f>K167/invulblad!S$59</f>
        <v>#VALUE!</v>
      </c>
      <c r="Z167" s="262" t="e">
        <f>L167/invulblad!T$59</f>
        <v>#VALUE!</v>
      </c>
      <c r="AA167" s="262" t="e">
        <f>M167/invulblad!U$59</f>
        <v>#VALUE!</v>
      </c>
      <c r="AB167" s="262" t="e">
        <f>N167/invulblad!V$59</f>
        <v>#VALUE!</v>
      </c>
    </row>
    <row r="168" spans="1:28" x14ac:dyDescent="0.2">
      <c r="A168" s="93">
        <f t="shared" ref="A168:B168" si="65">A146</f>
        <v>16</v>
      </c>
      <c r="B168" s="93" t="str">
        <f t="shared" si="65"/>
        <v>overige bron2</v>
      </c>
      <c r="C168" s="94">
        <f>4.57*invulblad!$H37*invulblad!K37</f>
        <v>0</v>
      </c>
      <c r="D168" s="94">
        <f>4.57*invulblad!$H37*invulblad!L37</f>
        <v>0</v>
      </c>
      <c r="E168" s="94">
        <f>4.57*invulblad!$H37*invulblad!M37</f>
        <v>0</v>
      </c>
      <c r="F168" s="94">
        <f>4.57*invulblad!$H37*invulblad!N37</f>
        <v>0</v>
      </c>
      <c r="G168" s="94">
        <f>4.57*invulblad!$H37*invulblad!O37</f>
        <v>0</v>
      </c>
      <c r="H168" s="94">
        <f>4.57*invulblad!$H37*invulblad!P37</f>
        <v>0</v>
      </c>
      <c r="I168" s="94">
        <f>4.57*invulblad!$H37*invulblad!Q37</f>
        <v>0</v>
      </c>
      <c r="J168" s="94">
        <f>4.57*invulblad!$H37*invulblad!R37</f>
        <v>0</v>
      </c>
      <c r="K168" s="94">
        <f>4.57*invulblad!$H37*invulblad!S37</f>
        <v>0</v>
      </c>
      <c r="L168" s="94">
        <f>4.57*invulblad!$H37*invulblad!T37</f>
        <v>0</v>
      </c>
      <c r="M168" s="94">
        <f>4.57*invulblad!$H37*invulblad!U37</f>
        <v>0</v>
      </c>
      <c r="N168" s="94">
        <f>4.57*invulblad!$H37*invulblad!V37</f>
        <v>0</v>
      </c>
      <c r="P168" s="263" t="str">
        <f t="shared" si="52"/>
        <v>overige bron2</v>
      </c>
      <c r="Q168" s="262">
        <f>C168/invulblad!K$59</f>
        <v>0</v>
      </c>
      <c r="R168" s="262" t="e">
        <f>D168/invulblad!L$59</f>
        <v>#VALUE!</v>
      </c>
      <c r="S168" s="262" t="e">
        <f>E168/invulblad!M$59</f>
        <v>#VALUE!</v>
      </c>
      <c r="T168" s="262" t="e">
        <f>F168/invulblad!N$59</f>
        <v>#VALUE!</v>
      </c>
      <c r="U168" s="262" t="e">
        <f>G168/invulblad!O$59</f>
        <v>#VALUE!</v>
      </c>
      <c r="V168" s="262" t="e">
        <f>H168/invulblad!P$59</f>
        <v>#VALUE!</v>
      </c>
      <c r="W168" s="262" t="e">
        <f>I168/invulblad!Q$59</f>
        <v>#VALUE!</v>
      </c>
      <c r="X168" s="262" t="e">
        <f>J168/invulblad!R$59</f>
        <v>#VALUE!</v>
      </c>
      <c r="Y168" s="262" t="e">
        <f>K168/invulblad!S$59</f>
        <v>#VALUE!</v>
      </c>
      <c r="Z168" s="262" t="e">
        <f>L168/invulblad!T$59</f>
        <v>#VALUE!</v>
      </c>
      <c r="AA168" s="262" t="e">
        <f>M168/invulblad!U$59</f>
        <v>#VALUE!</v>
      </c>
      <c r="AB168" s="262" t="e">
        <f>N168/invulblad!V$59</f>
        <v>#VALUE!</v>
      </c>
    </row>
    <row r="169" spans="1:28" x14ac:dyDescent="0.2">
      <c r="A169" s="93">
        <f t="shared" ref="A169:B169" si="66">A147</f>
        <v>17</v>
      </c>
      <c r="B169" s="93" t="str">
        <f t="shared" si="66"/>
        <v>overige bron3</v>
      </c>
      <c r="C169" s="94">
        <f>4.57*invulblad!$H38*invulblad!K38</f>
        <v>0</v>
      </c>
      <c r="D169" s="94">
        <f>4.57*invulblad!$H38*invulblad!L38</f>
        <v>0</v>
      </c>
      <c r="E169" s="94">
        <f>4.57*invulblad!$H38*invulblad!M38</f>
        <v>0</v>
      </c>
      <c r="F169" s="94">
        <f>4.57*invulblad!$H38*invulblad!N38</f>
        <v>0</v>
      </c>
      <c r="G169" s="94">
        <f>4.57*invulblad!$H38*invulblad!O38</f>
        <v>0</v>
      </c>
      <c r="H169" s="94">
        <f>4.57*invulblad!$H38*invulblad!P38</f>
        <v>0</v>
      </c>
      <c r="I169" s="94">
        <f>4.57*invulblad!$H38*invulblad!Q38</f>
        <v>0</v>
      </c>
      <c r="J169" s="94">
        <f>4.57*invulblad!$H38*invulblad!R38</f>
        <v>0</v>
      </c>
      <c r="K169" s="94">
        <f>4.57*invulblad!$H38*invulblad!S38</f>
        <v>0</v>
      </c>
      <c r="L169" s="94">
        <f>4.57*invulblad!$H38*invulblad!T38</f>
        <v>0</v>
      </c>
      <c r="M169" s="94">
        <f>4.57*invulblad!$H38*invulblad!U38</f>
        <v>0</v>
      </c>
      <c r="N169" s="94">
        <f>4.57*invulblad!$H38*invulblad!V38</f>
        <v>0</v>
      </c>
      <c r="P169" s="263" t="str">
        <f t="shared" si="52"/>
        <v>overige bron3</v>
      </c>
      <c r="Q169" s="262">
        <f>C169/invulblad!K$59</f>
        <v>0</v>
      </c>
      <c r="R169" s="262" t="e">
        <f>D169/invulblad!L$59</f>
        <v>#VALUE!</v>
      </c>
      <c r="S169" s="262" t="e">
        <f>E169/invulblad!M$59</f>
        <v>#VALUE!</v>
      </c>
      <c r="T169" s="262" t="e">
        <f>F169/invulblad!N$59</f>
        <v>#VALUE!</v>
      </c>
      <c r="U169" s="262" t="e">
        <f>G169/invulblad!O$59</f>
        <v>#VALUE!</v>
      </c>
      <c r="V169" s="262" t="e">
        <f>H169/invulblad!P$59</f>
        <v>#VALUE!</v>
      </c>
      <c r="W169" s="262" t="e">
        <f>I169/invulblad!Q$59</f>
        <v>#VALUE!</v>
      </c>
      <c r="X169" s="262" t="e">
        <f>J169/invulblad!R$59</f>
        <v>#VALUE!</v>
      </c>
      <c r="Y169" s="262" t="e">
        <f>K169/invulblad!S$59</f>
        <v>#VALUE!</v>
      </c>
      <c r="Z169" s="262" t="e">
        <f>L169/invulblad!T$59</f>
        <v>#VALUE!</v>
      </c>
      <c r="AA169" s="262" t="e">
        <f>M169/invulblad!U$59</f>
        <v>#VALUE!</v>
      </c>
      <c r="AB169" s="262" t="e">
        <f>N169/invulblad!V$59</f>
        <v>#VALUE!</v>
      </c>
    </row>
    <row r="170" spans="1:28" x14ac:dyDescent="0.2">
      <c r="A170" s="93">
        <f t="shared" ref="A170:B170" si="67">A148</f>
        <v>18</v>
      </c>
      <c r="B170" s="93" t="str">
        <f t="shared" si="67"/>
        <v>overige bron4</v>
      </c>
      <c r="C170" s="94">
        <f>4.57*invulblad!$H39*invulblad!K39</f>
        <v>0</v>
      </c>
      <c r="D170" s="94">
        <f>4.57*invulblad!$H39*invulblad!L39</f>
        <v>0</v>
      </c>
      <c r="E170" s="94">
        <f>4.57*invulblad!$H39*invulblad!M39</f>
        <v>0</v>
      </c>
      <c r="F170" s="94">
        <f>4.57*invulblad!$H39*invulblad!N39</f>
        <v>0</v>
      </c>
      <c r="G170" s="94">
        <f>4.57*invulblad!$H39*invulblad!O39</f>
        <v>0</v>
      </c>
      <c r="H170" s="94">
        <f>4.57*invulblad!$H39*invulblad!P39</f>
        <v>0</v>
      </c>
      <c r="I170" s="94">
        <f>4.57*invulblad!$H39*invulblad!Q39</f>
        <v>0</v>
      </c>
      <c r="J170" s="94">
        <f>4.57*invulblad!$H39*invulblad!R39</f>
        <v>0</v>
      </c>
      <c r="K170" s="94">
        <f>4.57*invulblad!$H39*invulblad!S39</f>
        <v>0</v>
      </c>
      <c r="L170" s="94">
        <f>4.57*invulblad!$H39*invulblad!T39</f>
        <v>0</v>
      </c>
      <c r="M170" s="94">
        <f>4.57*invulblad!$H39*invulblad!U39</f>
        <v>0</v>
      </c>
      <c r="N170" s="94">
        <f>4.57*invulblad!$H39*invulblad!V39</f>
        <v>0</v>
      </c>
      <c r="P170" s="263" t="str">
        <f t="shared" si="52"/>
        <v>overige bron4</v>
      </c>
      <c r="Q170" s="262">
        <f>C170/invulblad!K$59</f>
        <v>0</v>
      </c>
      <c r="R170" s="262" t="e">
        <f>D170/invulblad!L$59</f>
        <v>#VALUE!</v>
      </c>
      <c r="S170" s="262" t="e">
        <f>E170/invulblad!M$59</f>
        <v>#VALUE!</v>
      </c>
      <c r="T170" s="262" t="e">
        <f>F170/invulblad!N$59</f>
        <v>#VALUE!</v>
      </c>
      <c r="U170" s="262" t="e">
        <f>G170/invulblad!O$59</f>
        <v>#VALUE!</v>
      </c>
      <c r="V170" s="262" t="e">
        <f>H170/invulblad!P$59</f>
        <v>#VALUE!</v>
      </c>
      <c r="W170" s="262" t="e">
        <f>I170/invulblad!Q$59</f>
        <v>#VALUE!</v>
      </c>
      <c r="X170" s="262" t="e">
        <f>J170/invulblad!R$59</f>
        <v>#VALUE!</v>
      </c>
      <c r="Y170" s="262" t="e">
        <f>K170/invulblad!S$59</f>
        <v>#VALUE!</v>
      </c>
      <c r="Z170" s="262" t="e">
        <f>L170/invulblad!T$59</f>
        <v>#VALUE!</v>
      </c>
      <c r="AA170" s="262" t="e">
        <f>M170/invulblad!U$59</f>
        <v>#VALUE!</v>
      </c>
      <c r="AB170" s="262" t="e">
        <f>N170/invulblad!V$59</f>
        <v>#VALUE!</v>
      </c>
    </row>
    <row r="171" spans="1:28" x14ac:dyDescent="0.2">
      <c r="A171" s="93"/>
      <c r="B171" s="93"/>
      <c r="C171" s="94"/>
      <c r="D171" s="94"/>
      <c r="E171" s="94"/>
      <c r="F171" s="94"/>
      <c r="G171" s="94"/>
      <c r="H171" s="94"/>
      <c r="I171" s="94"/>
      <c r="J171" s="94"/>
      <c r="K171" s="94"/>
      <c r="L171" s="94"/>
      <c r="M171" s="94"/>
      <c r="N171" s="94"/>
      <c r="P171" s="263"/>
      <c r="Q171" s="262"/>
      <c r="R171" s="262"/>
      <c r="S171" s="262"/>
      <c r="T171" s="262"/>
      <c r="U171" s="262"/>
      <c r="V171" s="262"/>
      <c r="W171" s="262"/>
      <c r="X171" s="262"/>
      <c r="Y171" s="262"/>
      <c r="Z171" s="262"/>
      <c r="AA171" s="262"/>
      <c r="AB171" s="262"/>
    </row>
    <row r="172" spans="1:28" x14ac:dyDescent="0.2">
      <c r="A172" s="95" t="s">
        <v>172</v>
      </c>
      <c r="B172" s="93" t="s">
        <v>171</v>
      </c>
      <c r="C172" s="94">
        <f>SUMIF(C153:C170,"&gt;0")</f>
        <v>543.83000000000015</v>
      </c>
      <c r="D172" s="94">
        <f t="shared" ref="D172:N172" si="68">SUMIF(D153:D170,"&gt;0")</f>
        <v>0</v>
      </c>
      <c r="E172" s="94">
        <f t="shared" si="68"/>
        <v>0</v>
      </c>
      <c r="F172" s="94">
        <f t="shared" si="68"/>
        <v>0</v>
      </c>
      <c r="G172" s="94">
        <f t="shared" si="68"/>
        <v>0</v>
      </c>
      <c r="H172" s="94">
        <f t="shared" si="68"/>
        <v>0</v>
      </c>
      <c r="I172" s="94">
        <f t="shared" si="68"/>
        <v>0</v>
      </c>
      <c r="J172" s="94">
        <f t="shared" si="68"/>
        <v>0</v>
      </c>
      <c r="K172" s="94">
        <f t="shared" si="68"/>
        <v>0</v>
      </c>
      <c r="L172" s="94">
        <f t="shared" si="68"/>
        <v>0</v>
      </c>
      <c r="M172" s="94">
        <f t="shared" si="68"/>
        <v>0</v>
      </c>
      <c r="N172" s="94">
        <f t="shared" si="68"/>
        <v>0</v>
      </c>
      <c r="P172" s="263" t="str">
        <f>B172</f>
        <v>totaal</v>
      </c>
      <c r="Q172" s="262">
        <f>C172/invulblad!K$59</f>
        <v>0.33989375000000011</v>
      </c>
      <c r="R172" s="262" t="e">
        <f>D172/invulblad!L$59</f>
        <v>#VALUE!</v>
      </c>
      <c r="S172" s="262" t="e">
        <f>E172/invulblad!M$59</f>
        <v>#VALUE!</v>
      </c>
      <c r="T172" s="262" t="e">
        <f>F172/invulblad!N$59</f>
        <v>#VALUE!</v>
      </c>
      <c r="U172" s="262" t="e">
        <f>G172/invulblad!O$59</f>
        <v>#VALUE!</v>
      </c>
      <c r="V172" s="262" t="e">
        <f>H172/invulblad!P$59</f>
        <v>#VALUE!</v>
      </c>
      <c r="W172" s="262" t="e">
        <f>I172/invulblad!Q$59</f>
        <v>#VALUE!</v>
      </c>
      <c r="X172" s="262" t="e">
        <f>J172/invulblad!R$59</f>
        <v>#VALUE!</v>
      </c>
      <c r="Y172" s="262" t="e">
        <f>K172/invulblad!S$59</f>
        <v>#VALUE!</v>
      </c>
      <c r="Z172" s="262" t="e">
        <f>L172/invulblad!T$59</f>
        <v>#VALUE!</v>
      </c>
      <c r="AA172" s="262" t="e">
        <f>M172/invulblad!U$59</f>
        <v>#VALUE!</v>
      </c>
      <c r="AB172" s="262" t="e">
        <f>N172/invulblad!V$59</f>
        <v>#VALUE!</v>
      </c>
    </row>
    <row r="174" spans="1:28" ht="26.25" x14ac:dyDescent="0.2">
      <c r="A174" s="93"/>
      <c r="B174" s="91" t="s">
        <v>177</v>
      </c>
      <c r="C174" s="92" t="str">
        <f>C130</f>
        <v>Voorbeeld</v>
      </c>
      <c r="D174" s="92" t="str">
        <f t="shared" ref="D174:N174" si="69">D130</f>
        <v>water_2</v>
      </c>
      <c r="E174" s="92" t="str">
        <f t="shared" si="69"/>
        <v>water_3</v>
      </c>
      <c r="F174" s="92" t="str">
        <f t="shared" si="69"/>
        <v>water_4</v>
      </c>
      <c r="G174" s="92" t="str">
        <f t="shared" si="69"/>
        <v>water_5</v>
      </c>
      <c r="H174" s="92" t="str">
        <f t="shared" si="69"/>
        <v>water_6</v>
      </c>
      <c r="I174" s="92" t="str">
        <f t="shared" si="69"/>
        <v>water_7</v>
      </c>
      <c r="J174" s="92" t="str">
        <f t="shared" si="69"/>
        <v>water_8</v>
      </c>
      <c r="K174" s="92" t="str">
        <f t="shared" si="69"/>
        <v>water_9</v>
      </c>
      <c r="L174" s="92" t="str">
        <f t="shared" si="69"/>
        <v>water_10</v>
      </c>
      <c r="M174" s="252" t="str">
        <f t="shared" si="69"/>
        <v>water_11</v>
      </c>
      <c r="N174" s="92" t="str">
        <f t="shared" si="69"/>
        <v>water_12</v>
      </c>
      <c r="O174" s="254"/>
      <c r="P174" s="91" t="s">
        <v>181</v>
      </c>
      <c r="Q174" s="257" t="str">
        <f>C174</f>
        <v>Voorbeeld</v>
      </c>
      <c r="R174" s="92" t="str">
        <f t="shared" ref="R174" si="70">D174</f>
        <v>water_2</v>
      </c>
      <c r="S174" s="92" t="str">
        <f t="shared" ref="S174" si="71">E174</f>
        <v>water_3</v>
      </c>
      <c r="T174" s="92" t="str">
        <f t="shared" ref="T174" si="72">F174</f>
        <v>water_4</v>
      </c>
      <c r="U174" s="92" t="str">
        <f t="shared" ref="U174" si="73">G174</f>
        <v>water_5</v>
      </c>
      <c r="V174" s="92" t="str">
        <f t="shared" ref="V174" si="74">H174</f>
        <v>water_6</v>
      </c>
      <c r="W174" s="92" t="str">
        <f t="shared" ref="W174" si="75">I174</f>
        <v>water_7</v>
      </c>
      <c r="X174" s="92" t="str">
        <f t="shared" ref="X174" si="76">J174</f>
        <v>water_8</v>
      </c>
      <c r="Y174" s="92" t="str">
        <f t="shared" ref="Y174" si="77">K174</f>
        <v>water_9</v>
      </c>
      <c r="Z174" s="92" t="str">
        <f t="shared" ref="Z174" si="78">L174</f>
        <v>water_10</v>
      </c>
      <c r="AA174" s="92" t="str">
        <f t="shared" ref="AA174" si="79">M174</f>
        <v>water_11</v>
      </c>
      <c r="AB174" s="92" t="str">
        <f t="shared" ref="AB174" si="80">N174</f>
        <v>water_12</v>
      </c>
    </row>
    <row r="175" spans="1:28" x14ac:dyDescent="0.2">
      <c r="A175" s="93">
        <f t="shared" ref="A175:B175" si="81">A153</f>
        <v>1</v>
      </c>
      <c r="B175" s="93" t="str">
        <f t="shared" si="81"/>
        <v>overstort gemengd stelsel</v>
      </c>
      <c r="C175" s="251">
        <f>invulblad!$I13*invulblad!K13</f>
        <v>178.08219178082192</v>
      </c>
      <c r="D175" s="94">
        <f>invulblad!$I13*invulblad!L13</f>
        <v>0</v>
      </c>
      <c r="E175" s="94">
        <f>invulblad!$I13*invulblad!M13</f>
        <v>0</v>
      </c>
      <c r="F175" s="94">
        <f>invulblad!$I13*invulblad!N13</f>
        <v>0</v>
      </c>
      <c r="G175" s="94">
        <f>invulblad!$I13*invulblad!O13</f>
        <v>0</v>
      </c>
      <c r="H175" s="94">
        <f>invulblad!$I13*invulblad!P13</f>
        <v>0</v>
      </c>
      <c r="I175" s="94">
        <f>invulblad!$I13*invulblad!Q13</f>
        <v>0</v>
      </c>
      <c r="J175" s="94">
        <f>invulblad!$I13*invulblad!R13</f>
        <v>0</v>
      </c>
      <c r="K175" s="94">
        <f>invulblad!$I13*invulblad!S13</f>
        <v>0</v>
      </c>
      <c r="L175" s="94">
        <f>invulblad!$I13*invulblad!T13</f>
        <v>0</v>
      </c>
      <c r="M175" s="253">
        <f>invulblad!$I13*invulblad!U13</f>
        <v>0</v>
      </c>
      <c r="N175" s="94">
        <f>invulblad!$I13*invulblad!V13</f>
        <v>0</v>
      </c>
      <c r="O175" s="255"/>
      <c r="P175" s="93" t="str">
        <f>B175</f>
        <v>overstort gemengd stelsel</v>
      </c>
      <c r="Q175" s="264">
        <f>C175/invulblad!K$59</f>
        <v>0.1113013698630137</v>
      </c>
      <c r="R175" s="262" t="e">
        <f>D175/invulblad!L$59</f>
        <v>#VALUE!</v>
      </c>
      <c r="S175" s="262" t="e">
        <f>E175/invulblad!M$59</f>
        <v>#VALUE!</v>
      </c>
      <c r="T175" s="262" t="e">
        <f>F175/invulblad!N$59</f>
        <v>#VALUE!</v>
      </c>
      <c r="U175" s="262" t="e">
        <f>G175/invulblad!O$59</f>
        <v>#VALUE!</v>
      </c>
      <c r="V175" s="262" t="e">
        <f>H175/invulblad!P$59</f>
        <v>#VALUE!</v>
      </c>
      <c r="W175" s="262" t="e">
        <f>I175/invulblad!Q$59</f>
        <v>#VALUE!</v>
      </c>
      <c r="X175" s="262" t="e">
        <f>J175/invulblad!R$59</f>
        <v>#VALUE!</v>
      </c>
      <c r="Y175" s="262" t="e">
        <f>K175/invulblad!S$59</f>
        <v>#VALUE!</v>
      </c>
      <c r="Z175" s="262" t="e">
        <f>L175/invulblad!T$59</f>
        <v>#VALUE!</v>
      </c>
      <c r="AA175" s="262" t="e">
        <f>M175/invulblad!U$59</f>
        <v>#VALUE!</v>
      </c>
      <c r="AB175" s="262" t="e">
        <f>N175/invulblad!V$59</f>
        <v>#VALUE!</v>
      </c>
    </row>
    <row r="176" spans="1:28" x14ac:dyDescent="0.2">
      <c r="A176" s="93">
        <f t="shared" ref="A176:B176" si="82">A154</f>
        <v>2</v>
      </c>
      <c r="B176" s="93" t="str">
        <f t="shared" si="82"/>
        <v>overstort gemengd stelsel+BB-basin</v>
      </c>
      <c r="C176" s="251">
        <f>invulblad!$I15*invulblad!K15</f>
        <v>0</v>
      </c>
      <c r="D176" s="94">
        <f>invulblad!$I15*invulblad!L15</f>
        <v>0</v>
      </c>
      <c r="E176" s="94">
        <f>invulblad!$I15*invulblad!M15</f>
        <v>0</v>
      </c>
      <c r="F176" s="94">
        <f>invulblad!$I15*invulblad!N15</f>
        <v>0</v>
      </c>
      <c r="G176" s="94">
        <f>invulblad!$I15*invulblad!O15</f>
        <v>0</v>
      </c>
      <c r="H176" s="94">
        <f>invulblad!$I15*invulblad!P15</f>
        <v>0</v>
      </c>
      <c r="I176" s="94">
        <f>invulblad!$I15*invulblad!Q15</f>
        <v>0</v>
      </c>
      <c r="J176" s="94">
        <f>invulblad!$I15*invulblad!R15</f>
        <v>0</v>
      </c>
      <c r="K176" s="94">
        <f>invulblad!$I15*invulblad!S15</f>
        <v>0</v>
      </c>
      <c r="L176" s="94">
        <f>invulblad!$I15*invulblad!T15</f>
        <v>0</v>
      </c>
      <c r="M176" s="253">
        <f>invulblad!$I15*invulblad!U15</f>
        <v>0</v>
      </c>
      <c r="N176" s="94">
        <f>invulblad!$I15*invulblad!V15</f>
        <v>0</v>
      </c>
      <c r="O176" s="255"/>
      <c r="P176" s="93" t="str">
        <f>B176</f>
        <v>overstort gemengd stelsel+BB-basin</v>
      </c>
      <c r="Q176" s="264">
        <f>C176/invulblad!K$59</f>
        <v>0</v>
      </c>
      <c r="R176" s="262" t="e">
        <f>D176/invulblad!L$59</f>
        <v>#VALUE!</v>
      </c>
      <c r="S176" s="262" t="e">
        <f>E176/invulblad!M$59</f>
        <v>#VALUE!</v>
      </c>
      <c r="T176" s="262" t="e">
        <f>F176/invulblad!N$59</f>
        <v>#VALUE!</v>
      </c>
      <c r="U176" s="262" t="e">
        <f>G176/invulblad!O$59</f>
        <v>#VALUE!</v>
      </c>
      <c r="V176" s="262" t="e">
        <f>H176/invulblad!P$59</f>
        <v>#VALUE!</v>
      </c>
      <c r="W176" s="262" t="e">
        <f>I176/invulblad!Q$59</f>
        <v>#VALUE!</v>
      </c>
      <c r="X176" s="262" t="e">
        <f>J176/invulblad!R$59</f>
        <v>#VALUE!</v>
      </c>
      <c r="Y176" s="262" t="e">
        <f>K176/invulblad!S$59</f>
        <v>#VALUE!</v>
      </c>
      <c r="Z176" s="262" t="e">
        <f>L176/invulblad!T$59</f>
        <v>#VALUE!</v>
      </c>
      <c r="AA176" s="262" t="e">
        <f>M176/invulblad!U$59</f>
        <v>#VALUE!</v>
      </c>
      <c r="AB176" s="262" t="e">
        <f>N176/invulblad!V$59</f>
        <v>#VALUE!</v>
      </c>
    </row>
    <row r="177" spans="1:28" x14ac:dyDescent="0.2">
      <c r="A177" s="93">
        <f t="shared" ref="A177:B177" si="83">A155</f>
        <v>3</v>
      </c>
      <c r="B177" s="93" t="str">
        <f t="shared" si="83"/>
        <v>DWA-nooduitlaat</v>
      </c>
      <c r="C177" s="251">
        <f>invulblad!$I17*invulblad!K17</f>
        <v>0</v>
      </c>
      <c r="D177" s="94">
        <f>invulblad!$I17*invulblad!L17</f>
        <v>0</v>
      </c>
      <c r="E177" s="94">
        <f>invulblad!$I17*invulblad!M17</f>
        <v>0</v>
      </c>
      <c r="F177" s="94">
        <f>invulblad!$I17*invulblad!N17</f>
        <v>0</v>
      </c>
      <c r="G177" s="94">
        <f>invulblad!$I17*invulblad!O17</f>
        <v>0</v>
      </c>
      <c r="H177" s="94">
        <f>invulblad!$I17*invulblad!P17</f>
        <v>0</v>
      </c>
      <c r="I177" s="94">
        <f>invulblad!$I17*invulblad!Q17</f>
        <v>0</v>
      </c>
      <c r="J177" s="94">
        <f>invulblad!$I17*invulblad!R17</f>
        <v>0</v>
      </c>
      <c r="K177" s="94">
        <f>invulblad!$I17*invulblad!S17</f>
        <v>0</v>
      </c>
      <c r="L177" s="94">
        <f>invulblad!$I17*invulblad!T17</f>
        <v>0</v>
      </c>
      <c r="M177" s="253">
        <f>invulblad!$I17*invulblad!U17</f>
        <v>0</v>
      </c>
      <c r="N177" s="94">
        <f>invulblad!$I17*invulblad!V17</f>
        <v>0</v>
      </c>
      <c r="O177" s="255"/>
      <c r="P177" s="93" t="str">
        <f t="shared" ref="P177:P192" si="84">B177</f>
        <v>DWA-nooduitlaat</v>
      </c>
      <c r="Q177" s="264">
        <f>C177/invulblad!K$59</f>
        <v>0</v>
      </c>
      <c r="R177" s="262" t="e">
        <f>D177/invulblad!L$59</f>
        <v>#VALUE!</v>
      </c>
      <c r="S177" s="262" t="e">
        <f>E177/invulblad!M$59</f>
        <v>#VALUE!</v>
      </c>
      <c r="T177" s="262" t="e">
        <f>F177/invulblad!N$59</f>
        <v>#VALUE!</v>
      </c>
      <c r="U177" s="262" t="e">
        <f>G177/invulblad!O$59</f>
        <v>#VALUE!</v>
      </c>
      <c r="V177" s="262" t="e">
        <f>H177/invulblad!P$59</f>
        <v>#VALUE!</v>
      </c>
      <c r="W177" s="262" t="e">
        <f>I177/invulblad!Q$59</f>
        <v>#VALUE!</v>
      </c>
      <c r="X177" s="262" t="e">
        <f>J177/invulblad!R$59</f>
        <v>#VALUE!</v>
      </c>
      <c r="Y177" s="262" t="e">
        <f>K177/invulblad!S$59</f>
        <v>#VALUE!</v>
      </c>
      <c r="Z177" s="262" t="e">
        <f>L177/invulblad!T$59</f>
        <v>#VALUE!</v>
      </c>
      <c r="AA177" s="262" t="e">
        <f>M177/invulblad!U$59</f>
        <v>#VALUE!</v>
      </c>
      <c r="AB177" s="262" t="e">
        <f>N177/invulblad!V$59</f>
        <v>#VALUE!</v>
      </c>
    </row>
    <row r="178" spans="1:28" x14ac:dyDescent="0.2">
      <c r="A178" s="93">
        <f t="shared" ref="A178:B178" si="85">A156</f>
        <v>4</v>
      </c>
      <c r="B178" s="93" t="str">
        <f t="shared" si="85"/>
        <v>RWZI effluent</v>
      </c>
      <c r="C178" s="251">
        <f>invulblad!$I20*invulblad!K20</f>
        <v>0</v>
      </c>
      <c r="D178" s="94">
        <f>invulblad!$I20*invulblad!L20</f>
        <v>0</v>
      </c>
      <c r="E178" s="94">
        <f>invulblad!$I20*invulblad!M20</f>
        <v>0</v>
      </c>
      <c r="F178" s="94">
        <f>invulblad!$I20*invulblad!N20</f>
        <v>0</v>
      </c>
      <c r="G178" s="94">
        <f>invulblad!$I20*invulblad!O20</f>
        <v>0</v>
      </c>
      <c r="H178" s="94">
        <f>invulblad!$I20*invulblad!P20</f>
        <v>0</v>
      </c>
      <c r="I178" s="94">
        <f>invulblad!$I20*invulblad!Q20</f>
        <v>0</v>
      </c>
      <c r="J178" s="94">
        <f>invulblad!$I20*invulblad!R20</f>
        <v>0</v>
      </c>
      <c r="K178" s="94">
        <f>invulblad!$I20*invulblad!S20</f>
        <v>0</v>
      </c>
      <c r="L178" s="94">
        <f>invulblad!$I20*invulblad!T20</f>
        <v>0</v>
      </c>
      <c r="M178" s="253">
        <f>invulblad!$I20*invulblad!U20</f>
        <v>0</v>
      </c>
      <c r="N178" s="94">
        <f>invulblad!$I20*invulblad!V20</f>
        <v>0</v>
      </c>
      <c r="O178" s="255"/>
      <c r="P178" s="93" t="str">
        <f t="shared" si="84"/>
        <v>RWZI effluent</v>
      </c>
      <c r="Q178" s="264">
        <f>C178/invulblad!K$59</f>
        <v>0</v>
      </c>
      <c r="R178" s="262" t="e">
        <f>D178/invulblad!L$59</f>
        <v>#VALUE!</v>
      </c>
      <c r="S178" s="262" t="e">
        <f>E178/invulblad!M$59</f>
        <v>#VALUE!</v>
      </c>
      <c r="T178" s="262" t="e">
        <f>F178/invulblad!N$59</f>
        <v>#VALUE!</v>
      </c>
      <c r="U178" s="262" t="e">
        <f>G178/invulblad!O$59</f>
        <v>#VALUE!</v>
      </c>
      <c r="V178" s="262" t="e">
        <f>H178/invulblad!P$59</f>
        <v>#VALUE!</v>
      </c>
      <c r="W178" s="262" t="e">
        <f>I178/invulblad!Q$59</f>
        <v>#VALUE!</v>
      </c>
      <c r="X178" s="262" t="e">
        <f>J178/invulblad!R$59</f>
        <v>#VALUE!</v>
      </c>
      <c r="Y178" s="262" t="e">
        <f>K178/invulblad!S$59</f>
        <v>#VALUE!</v>
      </c>
      <c r="Z178" s="262" t="e">
        <f>L178/invulblad!T$59</f>
        <v>#VALUE!</v>
      </c>
      <c r="AA178" s="262" t="e">
        <f>M178/invulblad!U$59</f>
        <v>#VALUE!</v>
      </c>
      <c r="AB178" s="262" t="e">
        <f>N178/invulblad!V$59</f>
        <v>#VALUE!</v>
      </c>
    </row>
    <row r="179" spans="1:28" x14ac:dyDescent="0.2">
      <c r="A179" s="93">
        <f t="shared" ref="A179:B179" si="86">A157</f>
        <v>5</v>
      </c>
      <c r="B179" s="93" t="str">
        <f t="shared" si="86"/>
        <v>hemelwaterafvoer</v>
      </c>
      <c r="C179" s="251">
        <f>invulblad!$I21*invulblad!K21</f>
        <v>0</v>
      </c>
      <c r="D179" s="94">
        <f>invulblad!$I21*invulblad!L21</f>
        <v>0</v>
      </c>
      <c r="E179" s="94">
        <f>invulblad!$I21*invulblad!M21</f>
        <v>0</v>
      </c>
      <c r="F179" s="94">
        <f>invulblad!$I21*invulblad!N21</f>
        <v>0</v>
      </c>
      <c r="G179" s="94">
        <f>invulblad!$I21*invulblad!O21</f>
        <v>0</v>
      </c>
      <c r="H179" s="94">
        <f>invulblad!$I21*invulblad!P21</f>
        <v>0</v>
      </c>
      <c r="I179" s="94">
        <f>invulblad!$I21*invulblad!Q21</f>
        <v>0</v>
      </c>
      <c r="J179" s="94">
        <f>invulblad!$I21*invulblad!R21</f>
        <v>0</v>
      </c>
      <c r="K179" s="94">
        <f>invulblad!$I21*invulblad!S21</f>
        <v>0</v>
      </c>
      <c r="L179" s="94">
        <f>invulblad!$I21*invulblad!T21</f>
        <v>0</v>
      </c>
      <c r="M179" s="253">
        <f>invulblad!$I21*invulblad!U21</f>
        <v>0</v>
      </c>
      <c r="N179" s="94">
        <f>invulblad!$I21*invulblad!V21</f>
        <v>0</v>
      </c>
      <c r="O179" s="255"/>
      <c r="P179" s="93" t="str">
        <f t="shared" si="84"/>
        <v>hemelwaterafvoer</v>
      </c>
      <c r="Q179" s="264">
        <f>C179/invulblad!K$59</f>
        <v>0</v>
      </c>
      <c r="R179" s="262" t="e">
        <f>D179/invulblad!L$59</f>
        <v>#VALUE!</v>
      </c>
      <c r="S179" s="262" t="e">
        <f>E179/invulblad!M$59</f>
        <v>#VALUE!</v>
      </c>
      <c r="T179" s="262" t="e">
        <f>F179/invulblad!N$59</f>
        <v>#VALUE!</v>
      </c>
      <c r="U179" s="262" t="e">
        <f>G179/invulblad!O$59</f>
        <v>#VALUE!</v>
      </c>
      <c r="V179" s="262" t="e">
        <f>H179/invulblad!P$59</f>
        <v>#VALUE!</v>
      </c>
      <c r="W179" s="262" t="e">
        <f>I179/invulblad!Q$59</f>
        <v>#VALUE!</v>
      </c>
      <c r="X179" s="262" t="e">
        <f>J179/invulblad!R$59</f>
        <v>#VALUE!</v>
      </c>
      <c r="Y179" s="262" t="e">
        <f>K179/invulblad!S$59</f>
        <v>#VALUE!</v>
      </c>
      <c r="Z179" s="262" t="e">
        <f>L179/invulblad!T$59</f>
        <v>#VALUE!</v>
      </c>
      <c r="AA179" s="262" t="e">
        <f>M179/invulblad!U$59</f>
        <v>#VALUE!</v>
      </c>
      <c r="AB179" s="262" t="e">
        <f>N179/invulblad!V$59</f>
        <v>#VALUE!</v>
      </c>
    </row>
    <row r="180" spans="1:28" x14ac:dyDescent="0.2">
      <c r="A180" s="93">
        <f t="shared" ref="A180:B180" si="87">A158</f>
        <v>6</v>
      </c>
      <c r="B180" s="93" t="str">
        <f t="shared" si="87"/>
        <v>septic tanks</v>
      </c>
      <c r="C180" s="251">
        <f>invulblad!$I22*invulblad!K22</f>
        <v>0</v>
      </c>
      <c r="D180" s="94">
        <f>invulblad!$I22*invulblad!L22</f>
        <v>0</v>
      </c>
      <c r="E180" s="94">
        <f>invulblad!$I22*invulblad!M22</f>
        <v>0</v>
      </c>
      <c r="F180" s="94">
        <f>invulblad!$I22*invulblad!N22</f>
        <v>0</v>
      </c>
      <c r="G180" s="94">
        <f>invulblad!$I22*invulblad!O22</f>
        <v>0</v>
      </c>
      <c r="H180" s="94">
        <f>invulblad!$I22*invulblad!P22</f>
        <v>0</v>
      </c>
      <c r="I180" s="94">
        <f>invulblad!$I22*invulblad!Q22</f>
        <v>0</v>
      </c>
      <c r="J180" s="94">
        <f>invulblad!$I22*invulblad!R22</f>
        <v>0</v>
      </c>
      <c r="K180" s="94">
        <f>invulblad!$I22*invulblad!S22</f>
        <v>0</v>
      </c>
      <c r="L180" s="94">
        <f>invulblad!$I22*invulblad!T22</f>
        <v>0</v>
      </c>
      <c r="M180" s="253">
        <f>invulblad!$I22*invulblad!U22</f>
        <v>0</v>
      </c>
      <c r="N180" s="94">
        <f>invulblad!$I22*invulblad!V22</f>
        <v>0</v>
      </c>
      <c r="O180" s="255"/>
      <c r="P180" s="93" t="str">
        <f t="shared" si="84"/>
        <v>septic tanks</v>
      </c>
      <c r="Q180" s="264">
        <f>C180/invulblad!K$59</f>
        <v>0</v>
      </c>
      <c r="R180" s="262" t="e">
        <f>D180/invulblad!L$59</f>
        <v>#VALUE!</v>
      </c>
      <c r="S180" s="262" t="e">
        <f>E180/invulblad!M$59</f>
        <v>#VALUE!</v>
      </c>
      <c r="T180" s="262" t="e">
        <f>F180/invulblad!N$59</f>
        <v>#VALUE!</v>
      </c>
      <c r="U180" s="262" t="e">
        <f>G180/invulblad!O$59</f>
        <v>#VALUE!</v>
      </c>
      <c r="V180" s="262" t="e">
        <f>H180/invulblad!P$59</f>
        <v>#VALUE!</v>
      </c>
      <c r="W180" s="262" t="e">
        <f>I180/invulblad!Q$59</f>
        <v>#VALUE!</v>
      </c>
      <c r="X180" s="262" t="e">
        <f>J180/invulblad!R$59</f>
        <v>#VALUE!</v>
      </c>
      <c r="Y180" s="262" t="e">
        <f>K180/invulblad!S$59</f>
        <v>#VALUE!</v>
      </c>
      <c r="Z180" s="262" t="e">
        <f>L180/invulblad!T$59</f>
        <v>#VALUE!</v>
      </c>
      <c r="AA180" s="262" t="e">
        <f>M180/invulblad!U$59</f>
        <v>#VALUE!</v>
      </c>
      <c r="AB180" s="262" t="e">
        <f>N180/invulblad!V$59</f>
        <v>#VALUE!</v>
      </c>
    </row>
    <row r="181" spans="1:28" x14ac:dyDescent="0.2">
      <c r="A181" s="93">
        <f t="shared" ref="A181:B181" si="88">A159</f>
        <v>7</v>
      </c>
      <c r="B181" s="93" t="str">
        <f t="shared" si="88"/>
        <v>IBA's</v>
      </c>
      <c r="C181" s="251">
        <f>invulblad!$I23*invulblad!K23</f>
        <v>107</v>
      </c>
      <c r="D181" s="94">
        <f>invulblad!$I23*invulblad!L23</f>
        <v>0</v>
      </c>
      <c r="E181" s="94">
        <f>invulblad!$I23*invulblad!M23</f>
        <v>0</v>
      </c>
      <c r="F181" s="94">
        <f>invulblad!$I23*invulblad!N23</f>
        <v>0</v>
      </c>
      <c r="G181" s="94">
        <f>invulblad!$I23*invulblad!O23</f>
        <v>0</v>
      </c>
      <c r="H181" s="94">
        <f>invulblad!$I23*invulblad!P23</f>
        <v>0</v>
      </c>
      <c r="I181" s="94">
        <f>invulblad!$I23*invulblad!Q23</f>
        <v>0</v>
      </c>
      <c r="J181" s="94">
        <f>invulblad!$I23*invulblad!R23</f>
        <v>0</v>
      </c>
      <c r="K181" s="94">
        <f>invulblad!$I23*invulblad!S23</f>
        <v>0</v>
      </c>
      <c r="L181" s="94">
        <f>invulblad!$I23*invulblad!T23</f>
        <v>0</v>
      </c>
      <c r="M181" s="253">
        <f>invulblad!$I23*invulblad!U23</f>
        <v>0</v>
      </c>
      <c r="N181" s="94">
        <f>invulblad!$I23*invulblad!V23</f>
        <v>0</v>
      </c>
      <c r="O181" s="255"/>
      <c r="P181" s="93" t="str">
        <f t="shared" si="84"/>
        <v>IBA's</v>
      </c>
      <c r="Q181" s="264">
        <f>C181/invulblad!K$59</f>
        <v>6.6875000000000004E-2</v>
      </c>
      <c r="R181" s="262" t="e">
        <f>D181/invulblad!L$59</f>
        <v>#VALUE!</v>
      </c>
      <c r="S181" s="262" t="e">
        <f>E181/invulblad!M$59</f>
        <v>#VALUE!</v>
      </c>
      <c r="T181" s="262" t="e">
        <f>F181/invulblad!N$59</f>
        <v>#VALUE!</v>
      </c>
      <c r="U181" s="262" t="e">
        <f>G181/invulblad!O$59</f>
        <v>#VALUE!</v>
      </c>
      <c r="V181" s="262" t="e">
        <f>H181/invulblad!P$59</f>
        <v>#VALUE!</v>
      </c>
      <c r="W181" s="262" t="e">
        <f>I181/invulblad!Q$59</f>
        <v>#VALUE!</v>
      </c>
      <c r="X181" s="262" t="e">
        <f>J181/invulblad!R$59</f>
        <v>#VALUE!</v>
      </c>
      <c r="Y181" s="262" t="e">
        <f>K181/invulblad!S$59</f>
        <v>#VALUE!</v>
      </c>
      <c r="Z181" s="262" t="e">
        <f>L181/invulblad!T$59</f>
        <v>#VALUE!</v>
      </c>
      <c r="AA181" s="262" t="e">
        <f>M181/invulblad!U$59</f>
        <v>#VALUE!</v>
      </c>
      <c r="AB181" s="262" t="e">
        <f>N181/invulblad!V$59</f>
        <v>#VALUE!</v>
      </c>
    </row>
    <row r="182" spans="1:28" x14ac:dyDescent="0.2">
      <c r="A182" s="93">
        <f t="shared" ref="A182:B182" si="89">A160</f>
        <v>8</v>
      </c>
      <c r="B182" s="93" t="str">
        <f t="shared" si="89"/>
        <v>bladval loofbomen</v>
      </c>
      <c r="C182" s="251">
        <f>invulblad!$I24*invulblad!K24</f>
        <v>411</v>
      </c>
      <c r="D182" s="94">
        <f>invulblad!$I24*invulblad!L24</f>
        <v>0</v>
      </c>
      <c r="E182" s="94">
        <f>invulblad!$I24*invulblad!M24</f>
        <v>0</v>
      </c>
      <c r="F182" s="94">
        <f>invulblad!$I24*invulblad!N24</f>
        <v>0</v>
      </c>
      <c r="G182" s="94">
        <f>invulblad!$I24*invulblad!O24</f>
        <v>0</v>
      </c>
      <c r="H182" s="94">
        <f>invulblad!$I24*invulblad!P24</f>
        <v>0</v>
      </c>
      <c r="I182" s="94">
        <f>invulblad!$I24*invulblad!Q24</f>
        <v>0</v>
      </c>
      <c r="J182" s="94">
        <f>invulblad!$I24*invulblad!R24</f>
        <v>0</v>
      </c>
      <c r="K182" s="94">
        <f>invulblad!$I24*invulblad!S24</f>
        <v>0</v>
      </c>
      <c r="L182" s="94">
        <f>invulblad!$I24*invulblad!T24</f>
        <v>0</v>
      </c>
      <c r="M182" s="253">
        <f>invulblad!$I24*invulblad!U24</f>
        <v>0</v>
      </c>
      <c r="N182" s="94">
        <f>invulblad!$I24*invulblad!V24</f>
        <v>0</v>
      </c>
      <c r="O182" s="255"/>
      <c r="P182" s="93" t="str">
        <f t="shared" si="84"/>
        <v>bladval loofbomen</v>
      </c>
      <c r="Q182" s="264">
        <f>C182/invulblad!K$59</f>
        <v>0.25687500000000002</v>
      </c>
      <c r="R182" s="262" t="e">
        <f>D182/invulblad!L$59</f>
        <v>#VALUE!</v>
      </c>
      <c r="S182" s="262" t="e">
        <f>E182/invulblad!M$59</f>
        <v>#VALUE!</v>
      </c>
      <c r="T182" s="262" t="e">
        <f>F182/invulblad!N$59</f>
        <v>#VALUE!</v>
      </c>
      <c r="U182" s="262" t="e">
        <f>G182/invulblad!O$59</f>
        <v>#VALUE!</v>
      </c>
      <c r="V182" s="262" t="e">
        <f>H182/invulblad!P$59</f>
        <v>#VALUE!</v>
      </c>
      <c r="W182" s="262" t="e">
        <f>I182/invulblad!Q$59</f>
        <v>#VALUE!</v>
      </c>
      <c r="X182" s="262" t="e">
        <f>J182/invulblad!R$59</f>
        <v>#VALUE!</v>
      </c>
      <c r="Y182" s="262" t="e">
        <f>K182/invulblad!S$59</f>
        <v>#VALUE!</v>
      </c>
      <c r="Z182" s="262" t="e">
        <f>L182/invulblad!T$59</f>
        <v>#VALUE!</v>
      </c>
      <c r="AA182" s="262" t="e">
        <f>M182/invulblad!U$59</f>
        <v>#VALUE!</v>
      </c>
      <c r="AB182" s="262" t="e">
        <f>N182/invulblad!V$59</f>
        <v>#VALUE!</v>
      </c>
    </row>
    <row r="183" spans="1:28" x14ac:dyDescent="0.2">
      <c r="A183" s="93">
        <f t="shared" ref="A183:B183" si="90">A161</f>
        <v>9</v>
      </c>
      <c r="B183" s="93" t="str">
        <f t="shared" si="90"/>
        <v>bladval naaldbomen</v>
      </c>
      <c r="C183" s="251">
        <f>invulblad!$I25*invulblad!K25</f>
        <v>0</v>
      </c>
      <c r="D183" s="94">
        <f>invulblad!$I25*invulblad!L25</f>
        <v>0</v>
      </c>
      <c r="E183" s="94">
        <f>invulblad!$I25*invulblad!M25</f>
        <v>0</v>
      </c>
      <c r="F183" s="94">
        <f>invulblad!$I25*invulblad!N25</f>
        <v>0</v>
      </c>
      <c r="G183" s="94">
        <f>invulblad!$I25*invulblad!O25</f>
        <v>0</v>
      </c>
      <c r="H183" s="94">
        <f>invulblad!$I25*invulblad!P25</f>
        <v>0</v>
      </c>
      <c r="I183" s="94">
        <f>invulblad!$I25*invulblad!Q25</f>
        <v>0</v>
      </c>
      <c r="J183" s="94">
        <f>invulblad!$I25*invulblad!R25</f>
        <v>0</v>
      </c>
      <c r="K183" s="94">
        <f>invulblad!$I25*invulblad!S25</f>
        <v>0</v>
      </c>
      <c r="L183" s="94">
        <f>invulblad!$I25*invulblad!T25</f>
        <v>0</v>
      </c>
      <c r="M183" s="253">
        <f>invulblad!$I25*invulblad!U25</f>
        <v>0</v>
      </c>
      <c r="N183" s="94">
        <f>invulblad!$I25*invulblad!V25</f>
        <v>0</v>
      </c>
      <c r="O183" s="255"/>
      <c r="P183" s="93" t="str">
        <f t="shared" si="84"/>
        <v>bladval naaldbomen</v>
      </c>
      <c r="Q183" s="264">
        <f>C183/invulblad!K$59</f>
        <v>0</v>
      </c>
      <c r="R183" s="262" t="e">
        <f>D183/invulblad!L$59</f>
        <v>#VALUE!</v>
      </c>
      <c r="S183" s="262" t="e">
        <f>E183/invulblad!M$59</f>
        <v>#VALUE!</v>
      </c>
      <c r="T183" s="262" t="e">
        <f>F183/invulblad!N$59</f>
        <v>#VALUE!</v>
      </c>
      <c r="U183" s="262" t="e">
        <f>G183/invulblad!O$59</f>
        <v>#VALUE!</v>
      </c>
      <c r="V183" s="262" t="e">
        <f>H183/invulblad!P$59</f>
        <v>#VALUE!</v>
      </c>
      <c r="W183" s="262" t="e">
        <f>I183/invulblad!Q$59</f>
        <v>#VALUE!</v>
      </c>
      <c r="X183" s="262" t="e">
        <f>J183/invulblad!R$59</f>
        <v>#VALUE!</v>
      </c>
      <c r="Y183" s="262" t="e">
        <f>K183/invulblad!S$59</f>
        <v>#VALUE!</v>
      </c>
      <c r="Z183" s="262" t="e">
        <f>L183/invulblad!T$59</f>
        <v>#VALUE!</v>
      </c>
      <c r="AA183" s="262" t="e">
        <f>M183/invulblad!U$59</f>
        <v>#VALUE!</v>
      </c>
      <c r="AB183" s="262" t="e">
        <f>N183/invulblad!V$59</f>
        <v>#VALUE!</v>
      </c>
    </row>
    <row r="184" spans="1:28" x14ac:dyDescent="0.2">
      <c r="A184" s="93">
        <f t="shared" ref="A184:B184" si="91">A162</f>
        <v>10</v>
      </c>
      <c r="B184" s="93" t="str">
        <f t="shared" si="91"/>
        <v>hondenpoep</v>
      </c>
      <c r="C184" s="251">
        <f>invulblad!$I26*invulblad!K26+invulblad!$I27*invulblad!K27+invulblad!$I28*invulblad!K28</f>
        <v>0</v>
      </c>
      <c r="D184" s="94">
        <f>invulblad!$I26*invulblad!L26+invulblad!$I27*invulblad!L27+invulblad!$I28*invulblad!L28</f>
        <v>0</v>
      </c>
      <c r="E184" s="94">
        <f>invulblad!$I26*invulblad!M26+invulblad!$I27*invulblad!M27+invulblad!$I28*invulblad!M28</f>
        <v>0</v>
      </c>
      <c r="F184" s="94">
        <f>invulblad!$I26*invulblad!N26+invulblad!$I27*invulblad!N27+invulblad!$I28*invulblad!N28</f>
        <v>0</v>
      </c>
      <c r="G184" s="94">
        <f>invulblad!$I26*invulblad!O26+invulblad!$I27*invulblad!O27+invulblad!$I28*invulblad!O28</f>
        <v>0</v>
      </c>
      <c r="H184" s="94">
        <f>invulblad!$I26*invulblad!P26+invulblad!$I27*invulblad!P27+invulblad!$I28*invulblad!P28</f>
        <v>0</v>
      </c>
      <c r="I184" s="94">
        <f>invulblad!$I26*invulblad!Q26+invulblad!$I27*invulblad!Q27+invulblad!$I28*invulblad!Q28</f>
        <v>0</v>
      </c>
      <c r="J184" s="94">
        <f>invulblad!$I26*invulblad!R26+invulblad!$I27*invulblad!R27+invulblad!$I28*invulblad!R28</f>
        <v>0</v>
      </c>
      <c r="K184" s="94">
        <f>invulblad!$I26*invulblad!S26+invulblad!$I27*invulblad!S27+invulblad!$I28*invulblad!S28</f>
        <v>0</v>
      </c>
      <c r="L184" s="94">
        <f>invulblad!$I26*invulblad!T26+invulblad!$I27*invulblad!T27+invulblad!$I28*invulblad!T28</f>
        <v>0</v>
      </c>
      <c r="M184" s="253">
        <f>invulblad!$I26*invulblad!U26+invulblad!$I27*invulblad!U27+invulblad!$I28*invulblad!U28</f>
        <v>0</v>
      </c>
      <c r="N184" s="94">
        <f>invulblad!$I26*invulblad!V26+invulblad!$I27*invulblad!V27+invulblad!$I28*invulblad!V28</f>
        <v>0</v>
      </c>
      <c r="O184" s="255"/>
      <c r="P184" s="93" t="str">
        <f t="shared" si="84"/>
        <v>hondenpoep</v>
      </c>
      <c r="Q184" s="264">
        <f>C184/invulblad!K$59</f>
        <v>0</v>
      </c>
      <c r="R184" s="262" t="e">
        <f>D184/invulblad!L$59</f>
        <v>#VALUE!</v>
      </c>
      <c r="S184" s="262" t="e">
        <f>E184/invulblad!M$59</f>
        <v>#VALUE!</v>
      </c>
      <c r="T184" s="262" t="e">
        <f>F184/invulblad!N$59</f>
        <v>#VALUE!</v>
      </c>
      <c r="U184" s="262" t="e">
        <f>G184/invulblad!O$59</f>
        <v>#VALUE!</v>
      </c>
      <c r="V184" s="262" t="e">
        <f>H184/invulblad!P$59</f>
        <v>#VALUE!</v>
      </c>
      <c r="W184" s="262" t="e">
        <f>I184/invulblad!Q$59</f>
        <v>#VALUE!</v>
      </c>
      <c r="X184" s="262" t="e">
        <f>J184/invulblad!R$59</f>
        <v>#VALUE!</v>
      </c>
      <c r="Y184" s="262" t="e">
        <f>K184/invulblad!S$59</f>
        <v>#VALUE!</v>
      </c>
      <c r="Z184" s="262" t="e">
        <f>L184/invulblad!T$59</f>
        <v>#VALUE!</v>
      </c>
      <c r="AA184" s="262" t="e">
        <f>M184/invulblad!U$59</f>
        <v>#VALUE!</v>
      </c>
      <c r="AB184" s="262" t="e">
        <f>N184/invulblad!V$59</f>
        <v>#VALUE!</v>
      </c>
    </row>
    <row r="185" spans="1:28" x14ac:dyDescent="0.2">
      <c r="A185" s="93">
        <f t="shared" ref="A185:B185" si="92">A163</f>
        <v>11</v>
      </c>
      <c r="B185" s="93" t="str">
        <f t="shared" si="92"/>
        <v>voeren vogels</v>
      </c>
      <c r="C185" s="251">
        <f>invulblad!$I29*invulblad!K29+invulblad!$I30*invulblad!K30+invulblad!$I31*invulblad!K31</f>
        <v>0</v>
      </c>
      <c r="D185" s="94">
        <f>invulblad!$I29*invulblad!L29+invulblad!$I30*invulblad!L30+invulblad!$I31*invulblad!L31</f>
        <v>0</v>
      </c>
      <c r="E185" s="94">
        <f>invulblad!$I29*invulblad!M29+invulblad!$I30*invulblad!M30+invulblad!$I31*invulblad!M31</f>
        <v>0</v>
      </c>
      <c r="F185" s="94">
        <f>invulblad!$I29*invulblad!N29+invulblad!$I30*invulblad!N30+invulblad!$I31*invulblad!N31</f>
        <v>0</v>
      </c>
      <c r="G185" s="94">
        <f>invulblad!$I29*invulblad!O29+invulblad!$I30*invulblad!O30+invulblad!$I31*invulblad!O31</f>
        <v>0</v>
      </c>
      <c r="H185" s="94">
        <f>invulblad!$I29*invulblad!P29+invulblad!$I30*invulblad!P30+invulblad!$I31*invulblad!P31</f>
        <v>0</v>
      </c>
      <c r="I185" s="94">
        <f>invulblad!$I29*invulblad!Q29+invulblad!$I30*invulblad!Q30+invulblad!$I31*invulblad!Q31</f>
        <v>0</v>
      </c>
      <c r="J185" s="94">
        <f>invulblad!$I29*invulblad!R29+invulblad!$I30*invulblad!R30+invulblad!$I31*invulblad!R31</f>
        <v>0</v>
      </c>
      <c r="K185" s="94">
        <f>invulblad!$I29*invulblad!S29+invulblad!$I30*invulblad!S30+invulblad!$I31*invulblad!S31</f>
        <v>0</v>
      </c>
      <c r="L185" s="94">
        <f>invulblad!$I29*invulblad!T29+invulblad!$I30*invulblad!T30+invulblad!$I31*invulblad!T31</f>
        <v>0</v>
      </c>
      <c r="M185" s="253">
        <f>invulblad!$I29*invulblad!U29+invulblad!$I30*invulblad!U30+invulblad!$I31*invulblad!U31</f>
        <v>0</v>
      </c>
      <c r="N185" s="94">
        <f>invulblad!$I29*invulblad!V29+invulblad!$I30*invulblad!V30+invulblad!$I31*invulblad!V31</f>
        <v>0</v>
      </c>
      <c r="O185" s="255"/>
      <c r="P185" s="93" t="str">
        <f t="shared" si="84"/>
        <v>voeren vogels</v>
      </c>
      <c r="Q185" s="264">
        <f>C185/invulblad!K$59</f>
        <v>0</v>
      </c>
      <c r="R185" s="262" t="e">
        <f>D185/invulblad!L$59</f>
        <v>#VALUE!</v>
      </c>
      <c r="S185" s="262" t="e">
        <f>E185/invulblad!M$59</f>
        <v>#VALUE!</v>
      </c>
      <c r="T185" s="262" t="e">
        <f>F185/invulblad!N$59</f>
        <v>#VALUE!</v>
      </c>
      <c r="U185" s="262" t="e">
        <f>G185/invulblad!O$59</f>
        <v>#VALUE!</v>
      </c>
      <c r="V185" s="262" t="e">
        <f>H185/invulblad!P$59</f>
        <v>#VALUE!</v>
      </c>
      <c r="W185" s="262" t="e">
        <f>I185/invulblad!Q$59</f>
        <v>#VALUE!</v>
      </c>
      <c r="X185" s="262" t="e">
        <f>J185/invulblad!R$59</f>
        <v>#VALUE!</v>
      </c>
      <c r="Y185" s="262" t="e">
        <f>K185/invulblad!S$59</f>
        <v>#VALUE!</v>
      </c>
      <c r="Z185" s="262" t="e">
        <f>L185/invulblad!T$59</f>
        <v>#VALUE!</v>
      </c>
      <c r="AA185" s="262" t="e">
        <f>M185/invulblad!U$59</f>
        <v>#VALUE!</v>
      </c>
      <c r="AB185" s="262" t="e">
        <f>N185/invulblad!V$59</f>
        <v>#VALUE!</v>
      </c>
    </row>
    <row r="186" spans="1:28" x14ac:dyDescent="0.2">
      <c r="A186" s="93">
        <f t="shared" ref="A186:B186" si="93">A164</f>
        <v>12</v>
      </c>
      <c r="B186" s="93" t="str">
        <f t="shared" si="93"/>
        <v>lokvoer vissen</v>
      </c>
      <c r="C186" s="251">
        <f>invulblad!$I32*invulblad!K32</f>
        <v>0</v>
      </c>
      <c r="D186" s="94">
        <f>invulblad!$I32*invulblad!L32</f>
        <v>0</v>
      </c>
      <c r="E186" s="94">
        <f>invulblad!$I32*invulblad!M32</f>
        <v>0</v>
      </c>
      <c r="F186" s="94">
        <f>invulblad!$I32*invulblad!N32</f>
        <v>0</v>
      </c>
      <c r="G186" s="94">
        <f>invulblad!$I32*invulblad!O32</f>
        <v>0</v>
      </c>
      <c r="H186" s="94">
        <f>invulblad!$I32*invulblad!P32</f>
        <v>0</v>
      </c>
      <c r="I186" s="94">
        <f>invulblad!$I32*invulblad!Q32</f>
        <v>0</v>
      </c>
      <c r="J186" s="94">
        <f>invulblad!$I32*invulblad!R32</f>
        <v>0</v>
      </c>
      <c r="K186" s="94">
        <f>invulblad!$I32*invulblad!S32</f>
        <v>0</v>
      </c>
      <c r="L186" s="94">
        <f>invulblad!$I32*invulblad!T32</f>
        <v>0</v>
      </c>
      <c r="M186" s="253">
        <f>invulblad!$I32*invulblad!U32</f>
        <v>0</v>
      </c>
      <c r="N186" s="94">
        <f>invulblad!$I32*invulblad!V32</f>
        <v>0</v>
      </c>
      <c r="O186" s="255"/>
      <c r="P186" s="93" t="str">
        <f t="shared" si="84"/>
        <v>lokvoer vissen</v>
      </c>
      <c r="Q186" s="264">
        <f>C186/invulblad!K$59</f>
        <v>0</v>
      </c>
      <c r="R186" s="262" t="e">
        <f>D186/invulblad!L$59</f>
        <v>#VALUE!</v>
      </c>
      <c r="S186" s="262" t="e">
        <f>E186/invulblad!M$59</f>
        <v>#VALUE!</v>
      </c>
      <c r="T186" s="262" t="e">
        <f>F186/invulblad!N$59</f>
        <v>#VALUE!</v>
      </c>
      <c r="U186" s="262" t="e">
        <f>G186/invulblad!O$59</f>
        <v>#VALUE!</v>
      </c>
      <c r="V186" s="262" t="e">
        <f>H186/invulblad!P$59</f>
        <v>#VALUE!</v>
      </c>
      <c r="W186" s="262" t="e">
        <f>I186/invulblad!Q$59</f>
        <v>#VALUE!</v>
      </c>
      <c r="X186" s="262" t="e">
        <f>J186/invulblad!R$59</f>
        <v>#VALUE!</v>
      </c>
      <c r="Y186" s="262" t="e">
        <f>K186/invulblad!S$59</f>
        <v>#VALUE!</v>
      </c>
      <c r="Z186" s="262" t="e">
        <f>L186/invulblad!T$59</f>
        <v>#VALUE!</v>
      </c>
      <c r="AA186" s="262" t="e">
        <f>M186/invulblad!U$59</f>
        <v>#VALUE!</v>
      </c>
      <c r="AB186" s="262" t="e">
        <f>N186/invulblad!V$59</f>
        <v>#VALUE!</v>
      </c>
    </row>
    <row r="187" spans="1:28" x14ac:dyDescent="0.2">
      <c r="A187" s="93">
        <f t="shared" ref="A187:B187" si="94">A165</f>
        <v>13</v>
      </c>
      <c r="B187" s="93" t="str">
        <f t="shared" si="94"/>
        <v>afspoeling mest</v>
      </c>
      <c r="C187" s="251">
        <f>invulblad!$I33*invulblad!K33+invulblad!$I34*invulblad!K34+invulblad!$I35*invulblad!K35</f>
        <v>0</v>
      </c>
      <c r="D187" s="94">
        <f>invulblad!$I33*invulblad!L33+invulblad!$I34*invulblad!L34+invulblad!$I35*invulblad!L35</f>
        <v>0</v>
      </c>
      <c r="E187" s="94">
        <f>invulblad!$I33*invulblad!M33+invulblad!$I34*invulblad!M34+invulblad!$I35*invulblad!M35</f>
        <v>0</v>
      </c>
      <c r="F187" s="94">
        <f>invulblad!$I33*invulblad!N33+invulblad!$I34*invulblad!N34+invulblad!$I35*invulblad!N35</f>
        <v>0</v>
      </c>
      <c r="G187" s="94">
        <f>invulblad!$I33*invulblad!O33+invulblad!$I34*invulblad!O34+invulblad!$I35*invulblad!O35</f>
        <v>0</v>
      </c>
      <c r="H187" s="94">
        <f>invulblad!$I33*invulblad!P33+invulblad!$I34*invulblad!P34+invulblad!$I35*invulblad!P35</f>
        <v>0</v>
      </c>
      <c r="I187" s="94">
        <f>invulblad!$I33*invulblad!Q33+invulblad!$I34*invulblad!Q34+invulblad!$I35*invulblad!Q35</f>
        <v>0</v>
      </c>
      <c r="J187" s="94">
        <f>invulblad!$I33*invulblad!R33+invulblad!$I34*invulblad!R34+invulblad!$I35*invulblad!R35</f>
        <v>0</v>
      </c>
      <c r="K187" s="94">
        <f>invulblad!$I33*invulblad!S33+invulblad!$I34*invulblad!S34+invulblad!$I35*invulblad!S35</f>
        <v>0</v>
      </c>
      <c r="L187" s="94">
        <f>invulblad!$I33*invulblad!T33+invulblad!$I34*invulblad!T34+invulblad!$I35*invulblad!T35</f>
        <v>0</v>
      </c>
      <c r="M187" s="253">
        <f>invulblad!$I33*invulblad!U33+invulblad!$I34*invulblad!U34+invulblad!$I35*invulblad!U35</f>
        <v>0</v>
      </c>
      <c r="N187" s="94">
        <f>invulblad!$I33*invulblad!V33+invulblad!$I34*invulblad!V34+invulblad!$I35*invulblad!V35</f>
        <v>0</v>
      </c>
      <c r="O187" s="255"/>
      <c r="P187" s="93" t="str">
        <f t="shared" si="84"/>
        <v>afspoeling mest</v>
      </c>
      <c r="Q187" s="264">
        <f>C187/invulblad!K$59</f>
        <v>0</v>
      </c>
      <c r="R187" s="262" t="e">
        <f>D187/invulblad!L$59</f>
        <v>#VALUE!</v>
      </c>
      <c r="S187" s="262" t="e">
        <f>E187/invulblad!M$59</f>
        <v>#VALUE!</v>
      </c>
      <c r="T187" s="262" t="e">
        <f>F187/invulblad!N$59</f>
        <v>#VALUE!</v>
      </c>
      <c r="U187" s="262" t="e">
        <f>G187/invulblad!O$59</f>
        <v>#VALUE!</v>
      </c>
      <c r="V187" s="262" t="e">
        <f>H187/invulblad!P$59</f>
        <v>#VALUE!</v>
      </c>
      <c r="W187" s="262" t="e">
        <f>I187/invulblad!Q$59</f>
        <v>#VALUE!</v>
      </c>
      <c r="X187" s="262" t="e">
        <f>J187/invulblad!R$59</f>
        <v>#VALUE!</v>
      </c>
      <c r="Y187" s="262" t="e">
        <f>K187/invulblad!S$59</f>
        <v>#VALUE!</v>
      </c>
      <c r="Z187" s="262" t="e">
        <f>L187/invulblad!T$59</f>
        <v>#VALUE!</v>
      </c>
      <c r="AA187" s="262" t="e">
        <f>M187/invulblad!U$59</f>
        <v>#VALUE!</v>
      </c>
      <c r="AB187" s="262" t="e">
        <f>N187/invulblad!V$59</f>
        <v>#VALUE!</v>
      </c>
    </row>
    <row r="188" spans="1:28" x14ac:dyDescent="0.2">
      <c r="A188" s="93">
        <f t="shared" ref="A188:B188" si="95">A166</f>
        <v>14</v>
      </c>
      <c r="B188" s="93" t="str">
        <f t="shared" si="95"/>
        <v>aanvoerwater</v>
      </c>
      <c r="C188" s="251"/>
      <c r="D188" s="94"/>
      <c r="E188" s="94"/>
      <c r="F188" s="94"/>
      <c r="G188" s="94"/>
      <c r="H188" s="94"/>
      <c r="I188" s="94"/>
      <c r="J188" s="94"/>
      <c r="K188" s="94"/>
      <c r="L188" s="94"/>
      <c r="M188" s="253"/>
      <c r="N188" s="94"/>
      <c r="O188" s="256"/>
      <c r="P188" s="93" t="str">
        <f t="shared" si="84"/>
        <v>aanvoerwater</v>
      </c>
      <c r="Q188" s="264">
        <f>C188/invulblad!K$59</f>
        <v>0</v>
      </c>
      <c r="R188" s="262" t="e">
        <f>D188/invulblad!L$59</f>
        <v>#VALUE!</v>
      </c>
      <c r="S188" s="262" t="e">
        <f>E188/invulblad!M$59</f>
        <v>#VALUE!</v>
      </c>
      <c r="T188" s="262" t="e">
        <f>F188/invulblad!N$59</f>
        <v>#VALUE!</v>
      </c>
      <c r="U188" s="262" t="e">
        <f>G188/invulblad!O$59</f>
        <v>#VALUE!</v>
      </c>
      <c r="V188" s="262" t="e">
        <f>H188/invulblad!P$59</f>
        <v>#VALUE!</v>
      </c>
      <c r="W188" s="262" t="e">
        <f>I188/invulblad!Q$59</f>
        <v>#VALUE!</v>
      </c>
      <c r="X188" s="262" t="e">
        <f>J188/invulblad!R$59</f>
        <v>#VALUE!</v>
      </c>
      <c r="Y188" s="262" t="e">
        <f>K188/invulblad!S$59</f>
        <v>#VALUE!</v>
      </c>
      <c r="Z188" s="262" t="e">
        <f>L188/invulblad!T$59</f>
        <v>#VALUE!</v>
      </c>
      <c r="AA188" s="262" t="e">
        <f>M188/invulblad!U$59</f>
        <v>#VALUE!</v>
      </c>
      <c r="AB188" s="262" t="e">
        <f>N188/invulblad!V$59</f>
        <v>#VALUE!</v>
      </c>
    </row>
    <row r="189" spans="1:28" x14ac:dyDescent="0.2">
      <c r="A189" s="93">
        <f t="shared" ref="A189:B189" si="96">A167</f>
        <v>15</v>
      </c>
      <c r="B189" s="93" t="str">
        <f t="shared" si="96"/>
        <v>overige bron1</v>
      </c>
      <c r="C189" s="251">
        <f>invulblad!$I36*invulblad!K36</f>
        <v>0</v>
      </c>
      <c r="D189" s="94">
        <f>invulblad!$I36*invulblad!L36</f>
        <v>0</v>
      </c>
      <c r="E189" s="94">
        <f>invulblad!$I36*invulblad!M36</f>
        <v>0</v>
      </c>
      <c r="F189" s="94">
        <f>invulblad!$I36*invulblad!N36</f>
        <v>0</v>
      </c>
      <c r="G189" s="94">
        <f>invulblad!$I36*invulblad!O36</f>
        <v>0</v>
      </c>
      <c r="H189" s="94">
        <f>invulblad!$I36*invulblad!P36</f>
        <v>0</v>
      </c>
      <c r="I189" s="94">
        <f>invulblad!$I36*invulblad!Q36</f>
        <v>0</v>
      </c>
      <c r="J189" s="94">
        <f>invulblad!$I36*invulblad!R36</f>
        <v>0</v>
      </c>
      <c r="K189" s="94">
        <f>invulblad!$I36*invulblad!S36</f>
        <v>0</v>
      </c>
      <c r="L189" s="94">
        <f>invulblad!$I36*invulblad!T36</f>
        <v>0</v>
      </c>
      <c r="M189" s="253">
        <f>invulblad!$I36*invulblad!U36</f>
        <v>0</v>
      </c>
      <c r="N189" s="94">
        <f>invulblad!$I36*invulblad!V36</f>
        <v>0</v>
      </c>
      <c r="O189" s="255"/>
      <c r="P189" s="93" t="str">
        <f t="shared" si="84"/>
        <v>overige bron1</v>
      </c>
      <c r="Q189" s="264">
        <f>C189/invulblad!K$59</f>
        <v>0</v>
      </c>
      <c r="R189" s="262" t="e">
        <f>D189/invulblad!L$59</f>
        <v>#VALUE!</v>
      </c>
      <c r="S189" s="262" t="e">
        <f>E189/invulblad!M$59</f>
        <v>#VALUE!</v>
      </c>
      <c r="T189" s="262" t="e">
        <f>F189/invulblad!N$59</f>
        <v>#VALUE!</v>
      </c>
      <c r="U189" s="262" t="e">
        <f>G189/invulblad!O$59</f>
        <v>#VALUE!</v>
      </c>
      <c r="V189" s="262" t="e">
        <f>H189/invulblad!P$59</f>
        <v>#VALUE!</v>
      </c>
      <c r="W189" s="262" t="e">
        <f>I189/invulblad!Q$59</f>
        <v>#VALUE!</v>
      </c>
      <c r="X189" s="262" t="e">
        <f>J189/invulblad!R$59</f>
        <v>#VALUE!</v>
      </c>
      <c r="Y189" s="262" t="e">
        <f>K189/invulblad!S$59</f>
        <v>#VALUE!</v>
      </c>
      <c r="Z189" s="262" t="e">
        <f>L189/invulblad!T$59</f>
        <v>#VALUE!</v>
      </c>
      <c r="AA189" s="262" t="e">
        <f>M189/invulblad!U$59</f>
        <v>#VALUE!</v>
      </c>
      <c r="AB189" s="262" t="e">
        <f>N189/invulblad!V$59</f>
        <v>#VALUE!</v>
      </c>
    </row>
    <row r="190" spans="1:28" x14ac:dyDescent="0.2">
      <c r="A190" s="93">
        <f t="shared" ref="A190:B190" si="97">A168</f>
        <v>16</v>
      </c>
      <c r="B190" s="93" t="str">
        <f t="shared" si="97"/>
        <v>overige bron2</v>
      </c>
      <c r="C190" s="251">
        <f>invulblad!$I37*invulblad!K37</f>
        <v>0</v>
      </c>
      <c r="D190" s="94">
        <f>invulblad!$I37*invulblad!L37</f>
        <v>0</v>
      </c>
      <c r="E190" s="94">
        <f>invulblad!$I37*invulblad!M37</f>
        <v>0</v>
      </c>
      <c r="F190" s="94">
        <f>invulblad!$I37*invulblad!N37</f>
        <v>0</v>
      </c>
      <c r="G190" s="94">
        <f>invulblad!$I37*invulblad!O37</f>
        <v>0</v>
      </c>
      <c r="H190" s="94">
        <f>invulblad!$I37*invulblad!P37</f>
        <v>0</v>
      </c>
      <c r="I190" s="94">
        <f>invulblad!$I37*invulblad!Q37</f>
        <v>0</v>
      </c>
      <c r="J190" s="94">
        <f>invulblad!$I37*invulblad!R37</f>
        <v>0</v>
      </c>
      <c r="K190" s="94">
        <f>invulblad!$I37*invulblad!S37</f>
        <v>0</v>
      </c>
      <c r="L190" s="94">
        <f>invulblad!$I37*invulblad!T37</f>
        <v>0</v>
      </c>
      <c r="M190" s="253">
        <f>invulblad!$I37*invulblad!U37</f>
        <v>0</v>
      </c>
      <c r="N190" s="94">
        <f>invulblad!$I37*invulblad!V37</f>
        <v>0</v>
      </c>
      <c r="O190" s="255"/>
      <c r="P190" s="93" t="str">
        <f t="shared" si="84"/>
        <v>overige bron2</v>
      </c>
      <c r="Q190" s="264">
        <f>C190/invulblad!K$59</f>
        <v>0</v>
      </c>
      <c r="R190" s="262" t="e">
        <f>D190/invulblad!L$59</f>
        <v>#VALUE!</v>
      </c>
      <c r="S190" s="262" t="e">
        <f>E190/invulblad!M$59</f>
        <v>#VALUE!</v>
      </c>
      <c r="T190" s="262" t="e">
        <f>F190/invulblad!N$59</f>
        <v>#VALUE!</v>
      </c>
      <c r="U190" s="262" t="e">
        <f>G190/invulblad!O$59</f>
        <v>#VALUE!</v>
      </c>
      <c r="V190" s="262" t="e">
        <f>H190/invulblad!P$59</f>
        <v>#VALUE!</v>
      </c>
      <c r="W190" s="262" t="e">
        <f>I190/invulblad!Q$59</f>
        <v>#VALUE!</v>
      </c>
      <c r="X190" s="262" t="e">
        <f>J190/invulblad!R$59</f>
        <v>#VALUE!</v>
      </c>
      <c r="Y190" s="262" t="e">
        <f>K190/invulblad!S$59</f>
        <v>#VALUE!</v>
      </c>
      <c r="Z190" s="262" t="e">
        <f>L190/invulblad!T$59</f>
        <v>#VALUE!</v>
      </c>
      <c r="AA190" s="262" t="e">
        <f>M190/invulblad!U$59</f>
        <v>#VALUE!</v>
      </c>
      <c r="AB190" s="262" t="e">
        <f>N190/invulblad!V$59</f>
        <v>#VALUE!</v>
      </c>
    </row>
    <row r="191" spans="1:28" x14ac:dyDescent="0.2">
      <c r="A191" s="93">
        <f t="shared" ref="A191:B191" si="98">A169</f>
        <v>17</v>
      </c>
      <c r="B191" s="93" t="str">
        <f t="shared" si="98"/>
        <v>overige bron3</v>
      </c>
      <c r="C191" s="251">
        <f>invulblad!$I38*invulblad!K38</f>
        <v>0</v>
      </c>
      <c r="D191" s="94">
        <f>invulblad!$I38*invulblad!L38</f>
        <v>0</v>
      </c>
      <c r="E191" s="94">
        <f>invulblad!$I38*invulblad!M38</f>
        <v>0</v>
      </c>
      <c r="F191" s="94">
        <f>invulblad!$I38*invulblad!N38</f>
        <v>0</v>
      </c>
      <c r="G191" s="94">
        <f>invulblad!$I38*invulblad!O38</f>
        <v>0</v>
      </c>
      <c r="H191" s="94">
        <f>invulblad!$I38*invulblad!P38</f>
        <v>0</v>
      </c>
      <c r="I191" s="94">
        <f>invulblad!$I38*invulblad!Q38</f>
        <v>0</v>
      </c>
      <c r="J191" s="94">
        <f>invulblad!$I38*invulblad!R38</f>
        <v>0</v>
      </c>
      <c r="K191" s="94">
        <f>invulblad!$I38*invulblad!S38</f>
        <v>0</v>
      </c>
      <c r="L191" s="94">
        <f>invulblad!$I38*invulblad!T38</f>
        <v>0</v>
      </c>
      <c r="M191" s="253">
        <f>invulblad!$I38*invulblad!U38</f>
        <v>0</v>
      </c>
      <c r="N191" s="94">
        <f>invulblad!$I38*invulblad!V38</f>
        <v>0</v>
      </c>
      <c r="O191" s="255"/>
      <c r="P191" s="93" t="str">
        <f t="shared" si="84"/>
        <v>overige bron3</v>
      </c>
      <c r="Q191" s="264">
        <f>C191/invulblad!K$59</f>
        <v>0</v>
      </c>
      <c r="R191" s="262" t="e">
        <f>D191/invulblad!L$59</f>
        <v>#VALUE!</v>
      </c>
      <c r="S191" s="262" t="e">
        <f>E191/invulblad!M$59</f>
        <v>#VALUE!</v>
      </c>
      <c r="T191" s="262" t="e">
        <f>F191/invulblad!N$59</f>
        <v>#VALUE!</v>
      </c>
      <c r="U191" s="262" t="e">
        <f>G191/invulblad!O$59</f>
        <v>#VALUE!</v>
      </c>
      <c r="V191" s="262" t="e">
        <f>H191/invulblad!P$59</f>
        <v>#VALUE!</v>
      </c>
      <c r="W191" s="262" t="e">
        <f>I191/invulblad!Q$59</f>
        <v>#VALUE!</v>
      </c>
      <c r="X191" s="262" t="e">
        <f>J191/invulblad!R$59</f>
        <v>#VALUE!</v>
      </c>
      <c r="Y191" s="262" t="e">
        <f>K191/invulblad!S$59</f>
        <v>#VALUE!</v>
      </c>
      <c r="Z191" s="262" t="e">
        <f>L191/invulblad!T$59</f>
        <v>#VALUE!</v>
      </c>
      <c r="AA191" s="262" t="e">
        <f>M191/invulblad!U$59</f>
        <v>#VALUE!</v>
      </c>
      <c r="AB191" s="262" t="e">
        <f>N191/invulblad!V$59</f>
        <v>#VALUE!</v>
      </c>
    </row>
    <row r="192" spans="1:28" x14ac:dyDescent="0.2">
      <c r="A192" s="93">
        <f t="shared" ref="A192:B192" si="99">A170</f>
        <v>18</v>
      </c>
      <c r="B192" s="93" t="str">
        <f t="shared" si="99"/>
        <v>overige bron4</v>
      </c>
      <c r="C192" s="251">
        <f>invulblad!$I39*invulblad!K39</f>
        <v>0</v>
      </c>
      <c r="D192" s="94">
        <f>invulblad!$I39*invulblad!L39</f>
        <v>0</v>
      </c>
      <c r="E192" s="94">
        <f>invulblad!$I39*invulblad!M39</f>
        <v>0</v>
      </c>
      <c r="F192" s="94">
        <f>invulblad!$I39*invulblad!N39</f>
        <v>0</v>
      </c>
      <c r="G192" s="94">
        <f>invulblad!$I39*invulblad!O39</f>
        <v>0</v>
      </c>
      <c r="H192" s="94">
        <f>invulblad!$I39*invulblad!P39</f>
        <v>0</v>
      </c>
      <c r="I192" s="94">
        <f>invulblad!$I39*invulblad!Q39</f>
        <v>0</v>
      </c>
      <c r="J192" s="94">
        <f>invulblad!$I39*invulblad!R39</f>
        <v>0</v>
      </c>
      <c r="K192" s="94">
        <f>invulblad!$I39*invulblad!S39</f>
        <v>0</v>
      </c>
      <c r="L192" s="94">
        <f>invulblad!$I39*invulblad!T39</f>
        <v>0</v>
      </c>
      <c r="M192" s="253">
        <f>invulblad!$I39*invulblad!U39</f>
        <v>0</v>
      </c>
      <c r="N192" s="94">
        <f>invulblad!$I39*invulblad!V39</f>
        <v>0</v>
      </c>
      <c r="O192" s="255"/>
      <c r="P192" s="93" t="str">
        <f t="shared" si="84"/>
        <v>overige bron4</v>
      </c>
      <c r="Q192" s="264">
        <f>C192/invulblad!K$59</f>
        <v>0</v>
      </c>
      <c r="R192" s="262" t="e">
        <f>D192/invulblad!L$59</f>
        <v>#VALUE!</v>
      </c>
      <c r="S192" s="262" t="e">
        <f>E192/invulblad!M$59</f>
        <v>#VALUE!</v>
      </c>
      <c r="T192" s="262" t="e">
        <f>F192/invulblad!N$59</f>
        <v>#VALUE!</v>
      </c>
      <c r="U192" s="262" t="e">
        <f>G192/invulblad!O$59</f>
        <v>#VALUE!</v>
      </c>
      <c r="V192" s="262" t="e">
        <f>H192/invulblad!P$59</f>
        <v>#VALUE!</v>
      </c>
      <c r="W192" s="262" t="e">
        <f>I192/invulblad!Q$59</f>
        <v>#VALUE!</v>
      </c>
      <c r="X192" s="262" t="e">
        <f>J192/invulblad!R$59</f>
        <v>#VALUE!</v>
      </c>
      <c r="Y192" s="262" t="e">
        <f>K192/invulblad!S$59</f>
        <v>#VALUE!</v>
      </c>
      <c r="Z192" s="262" t="e">
        <f>L192/invulblad!T$59</f>
        <v>#VALUE!</v>
      </c>
      <c r="AA192" s="262" t="e">
        <f>M192/invulblad!U$59</f>
        <v>#VALUE!</v>
      </c>
      <c r="AB192" s="262" t="e">
        <f>N192/invulblad!V$59</f>
        <v>#VALUE!</v>
      </c>
    </row>
    <row r="193" spans="1:28" x14ac:dyDescent="0.2">
      <c r="A193" s="93"/>
      <c r="B193" s="93"/>
      <c r="C193" s="94"/>
      <c r="D193" s="94"/>
      <c r="E193" s="94"/>
      <c r="F193" s="94"/>
      <c r="G193" s="94"/>
      <c r="H193" s="94"/>
      <c r="I193" s="94"/>
      <c r="J193" s="94"/>
      <c r="K193" s="94"/>
      <c r="L193" s="94"/>
      <c r="M193" s="94"/>
      <c r="N193" s="94"/>
      <c r="P193" s="93"/>
      <c r="Q193" s="262"/>
      <c r="R193" s="262"/>
      <c r="S193" s="262"/>
      <c r="T193" s="262"/>
      <c r="U193" s="262"/>
      <c r="V193" s="262"/>
      <c r="W193" s="262"/>
      <c r="X193" s="262"/>
      <c r="Y193" s="262"/>
      <c r="Z193" s="262"/>
      <c r="AA193" s="262"/>
      <c r="AB193" s="262"/>
    </row>
    <row r="194" spans="1:28" x14ac:dyDescent="0.2">
      <c r="A194" s="95" t="s">
        <v>123</v>
      </c>
      <c r="B194" s="93" t="s">
        <v>171</v>
      </c>
      <c r="C194" s="94">
        <f>SUMIF(C175:C192,"&gt;0")</f>
        <v>696.08219178082186</v>
      </c>
      <c r="D194" s="94">
        <f t="shared" ref="D194:N194" si="100">SUMIF(D175:D192,"&gt;0")</f>
        <v>0</v>
      </c>
      <c r="E194" s="94">
        <f t="shared" si="100"/>
        <v>0</v>
      </c>
      <c r="F194" s="94">
        <f t="shared" si="100"/>
        <v>0</v>
      </c>
      <c r="G194" s="94">
        <f t="shared" si="100"/>
        <v>0</v>
      </c>
      <c r="H194" s="94">
        <f t="shared" si="100"/>
        <v>0</v>
      </c>
      <c r="I194" s="94">
        <f t="shared" si="100"/>
        <v>0</v>
      </c>
      <c r="J194" s="94">
        <f t="shared" si="100"/>
        <v>0</v>
      </c>
      <c r="K194" s="94">
        <f t="shared" si="100"/>
        <v>0</v>
      </c>
      <c r="L194" s="94">
        <f t="shared" si="100"/>
        <v>0</v>
      </c>
      <c r="M194" s="94">
        <f t="shared" si="100"/>
        <v>0</v>
      </c>
      <c r="N194" s="94">
        <f t="shared" si="100"/>
        <v>0</v>
      </c>
      <c r="P194" s="93" t="str">
        <f>B194</f>
        <v>totaal</v>
      </c>
      <c r="Q194" s="262">
        <f>C194/invulblad!K$59</f>
        <v>0.43505136986301368</v>
      </c>
      <c r="R194" s="262" t="e">
        <f>D194/invulblad!L$59</f>
        <v>#VALUE!</v>
      </c>
      <c r="S194" s="262" t="e">
        <f>E194/invulblad!M$59</f>
        <v>#VALUE!</v>
      </c>
      <c r="T194" s="262" t="e">
        <f>F194/invulblad!N$59</f>
        <v>#VALUE!</v>
      </c>
      <c r="U194" s="262" t="e">
        <f>G194/invulblad!O$59</f>
        <v>#VALUE!</v>
      </c>
      <c r="V194" s="262" t="e">
        <f>H194/invulblad!P$59</f>
        <v>#VALUE!</v>
      </c>
      <c r="W194" s="262" t="e">
        <f>I194/invulblad!Q$59</f>
        <v>#VALUE!</v>
      </c>
      <c r="X194" s="262" t="e">
        <f>J194/invulblad!R$59</f>
        <v>#VALUE!</v>
      </c>
      <c r="Y194" s="262" t="e">
        <f>K194/invulblad!S$59</f>
        <v>#VALUE!</v>
      </c>
      <c r="Z194" s="262" t="e">
        <f>L194/invulblad!T$59</f>
        <v>#VALUE!</v>
      </c>
      <c r="AA194" s="262" t="e">
        <f>M194/invulblad!U$59</f>
        <v>#VALUE!</v>
      </c>
      <c r="AB194" s="262" t="e">
        <f>N194/invulblad!V$59</f>
        <v>#VALUE!</v>
      </c>
    </row>
    <row r="195" spans="1:28" x14ac:dyDescent="0.2">
      <c r="P195" s="93" t="s">
        <v>274</v>
      </c>
      <c r="Q195" s="350">
        <f>invulblad!K107</f>
        <v>0</v>
      </c>
      <c r="R195" s="350">
        <f>invulblad!L107</f>
        <v>0</v>
      </c>
      <c r="S195" s="350">
        <f>invulblad!M107</f>
        <v>0</v>
      </c>
      <c r="T195" s="350">
        <f>invulblad!N107</f>
        <v>0</v>
      </c>
      <c r="U195" s="350">
        <f>invulblad!O107</f>
        <v>0</v>
      </c>
      <c r="V195" s="350">
        <f>invulblad!P107</f>
        <v>0</v>
      </c>
      <c r="W195" s="350">
        <f>invulblad!Q107</f>
        <v>0</v>
      </c>
      <c r="X195" s="350">
        <f>invulblad!R107</f>
        <v>0</v>
      </c>
      <c r="Y195" s="350">
        <f>invulblad!S107</f>
        <v>0</v>
      </c>
      <c r="Z195" s="350">
        <f>invulblad!T107</f>
        <v>0</v>
      </c>
      <c r="AA195" s="350">
        <f>invulblad!U107</f>
        <v>0</v>
      </c>
      <c r="AB195" s="350">
        <f>invulblad!V107</f>
        <v>0</v>
      </c>
    </row>
  </sheetData>
  <sheetProtection sheet="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55:O69"/>
  <sheetViews>
    <sheetView zoomScale="85" zoomScaleNormal="85" workbookViewId="0">
      <selection activeCell="K50" sqref="K50"/>
    </sheetView>
  </sheetViews>
  <sheetFormatPr defaultColWidth="9.140625" defaultRowHeight="15" x14ac:dyDescent="0.25"/>
  <cols>
    <col min="1" max="1" width="35" style="72" bestFit="1" customWidth="1"/>
    <col min="2" max="2" width="12" style="72" bestFit="1" customWidth="1"/>
    <col min="3" max="3" width="28.5703125" style="72" bestFit="1" customWidth="1"/>
    <col min="4" max="15" width="16.7109375" style="72" customWidth="1"/>
    <col min="16" max="17" width="9.140625" style="72"/>
    <col min="18" max="33" width="12" style="72" customWidth="1"/>
    <col min="34" max="16384" width="9.140625" style="72"/>
  </cols>
  <sheetData>
    <row r="55" spans="1:15" x14ac:dyDescent="0.25">
      <c r="D55" s="507" t="str">
        <f>invulblad!K5</f>
        <v>Voorbeeld</v>
      </c>
      <c r="E55" s="507" t="str">
        <f>invulblad!L5</f>
        <v>water_2</v>
      </c>
      <c r="F55" s="507" t="str">
        <f>invulblad!M5</f>
        <v>water_3</v>
      </c>
      <c r="G55" s="507" t="str">
        <f>invulblad!N5</f>
        <v>water_4</v>
      </c>
      <c r="H55" s="507" t="str">
        <f>invulblad!O5</f>
        <v>water_5</v>
      </c>
      <c r="I55" s="507" t="str">
        <f>invulblad!P5</f>
        <v>water_6</v>
      </c>
      <c r="J55" s="507" t="str">
        <f>invulblad!Q5</f>
        <v>water_7</v>
      </c>
      <c r="K55" s="507" t="str">
        <f>invulblad!R5</f>
        <v>water_8</v>
      </c>
      <c r="L55" s="507" t="str">
        <f>invulblad!S5</f>
        <v>water_9</v>
      </c>
      <c r="M55" s="507" t="str">
        <f>invulblad!T5</f>
        <v>water_10</v>
      </c>
      <c r="N55" s="507" t="str">
        <f>invulblad!U5</f>
        <v>water_11</v>
      </c>
      <c r="O55" s="507" t="str">
        <f>invulblad!V5</f>
        <v>water_12</v>
      </c>
    </row>
    <row r="56" spans="1:15" x14ac:dyDescent="0.25">
      <c r="A56" s="72" t="s">
        <v>387</v>
      </c>
      <c r="B56" s="72" t="str">
        <f>invulblad!E86</f>
        <v>mg/l</v>
      </c>
      <c r="C56" s="72" t="str">
        <f>invulblad!F86</f>
        <v>stationair</v>
      </c>
      <c r="D56" s="508">
        <f>invulblad!K86</f>
        <v>0.50932034467457821</v>
      </c>
      <c r="E56" s="508" t="str">
        <f>invulblad!L86</f>
        <v/>
      </c>
      <c r="F56" s="508" t="str">
        <f>invulblad!M86</f>
        <v/>
      </c>
      <c r="G56" s="508" t="str">
        <f>invulblad!N86</f>
        <v/>
      </c>
      <c r="H56" s="508" t="str">
        <f>invulblad!O86</f>
        <v/>
      </c>
      <c r="I56" s="508" t="str">
        <f>invulblad!P86</f>
        <v/>
      </c>
      <c r="J56" s="508" t="str">
        <f>invulblad!Q86</f>
        <v/>
      </c>
      <c r="K56" s="508" t="str">
        <f>invulblad!R86</f>
        <v/>
      </c>
      <c r="L56" s="508" t="str">
        <f>invulblad!S86</f>
        <v/>
      </c>
      <c r="M56" s="508" t="str">
        <f>invulblad!T86</f>
        <v/>
      </c>
      <c r="N56" s="508" t="str">
        <f>invulblad!U86</f>
        <v/>
      </c>
      <c r="O56" s="508" t="str">
        <f>invulblad!V86</f>
        <v/>
      </c>
    </row>
    <row r="57" spans="1:15" x14ac:dyDescent="0.25">
      <c r="C57" s="506" t="s">
        <v>386</v>
      </c>
      <c r="D57" s="508">
        <f>IF(invulblad!K87="",0,invulblad!K87-D56)</f>
        <v>1.8453780557285848</v>
      </c>
      <c r="E57" s="508">
        <f>IF(invulblad!L87="",0,invulblad!L87-E56)</f>
        <v>0</v>
      </c>
      <c r="F57" s="508">
        <f>IF(invulblad!M87="",0,invulblad!M87-F56)</f>
        <v>0</v>
      </c>
      <c r="G57" s="508">
        <f>IF(invulblad!N87="",0,invulblad!N87-G56)</f>
        <v>0</v>
      </c>
      <c r="H57" s="508">
        <f>IF(invulblad!O87="",0,invulblad!O87-H56)</f>
        <v>0</v>
      </c>
      <c r="I57" s="508">
        <f>IF(invulblad!P87="",0,invulblad!P87-I56)</f>
        <v>0</v>
      </c>
      <c r="J57" s="508">
        <f>IF(invulblad!Q87="",0,invulblad!Q87-J56)</f>
        <v>0</v>
      </c>
      <c r="K57" s="508">
        <f>IF(invulblad!R87="",0,invulblad!R87-K56)</f>
        <v>0</v>
      </c>
      <c r="L57" s="508">
        <f>IF(invulblad!S87="",0,invulblad!S87-L56)</f>
        <v>0</v>
      </c>
      <c r="M57" s="508">
        <f>IF(invulblad!T87="",0,invulblad!T87-M56)</f>
        <v>0</v>
      </c>
      <c r="N57" s="508">
        <f>IF(invulblad!U87="",0,invulblad!U87-N56)</f>
        <v>0</v>
      </c>
      <c r="O57" s="508">
        <f>IF(invulblad!V87="",0,invulblad!V87-O56)</f>
        <v>0</v>
      </c>
    </row>
    <row r="58" spans="1:15" x14ac:dyDescent="0.25">
      <c r="A58" s="72" t="s">
        <v>388</v>
      </c>
      <c r="B58" s="72" t="str">
        <f>invulblad!E88</f>
        <v>mgN/l</v>
      </c>
      <c r="C58" s="72" t="str">
        <f>invulblad!F88</f>
        <v>stationair</v>
      </c>
      <c r="D58" s="508">
        <f>invulblad!K88</f>
        <v>0.1647964541763485</v>
      </c>
      <c r="E58" s="508" t="str">
        <f>invulblad!L88</f>
        <v/>
      </c>
      <c r="F58" s="508" t="str">
        <f>invulblad!M88</f>
        <v/>
      </c>
      <c r="G58" s="508" t="str">
        <f>invulblad!N88</f>
        <v/>
      </c>
      <c r="H58" s="508" t="str">
        <f>invulblad!O88</f>
        <v/>
      </c>
      <c r="I58" s="508" t="str">
        <f>invulblad!P88</f>
        <v/>
      </c>
      <c r="J58" s="508" t="str">
        <f>invulblad!Q88</f>
        <v/>
      </c>
      <c r="K58" s="508" t="str">
        <f>invulblad!R88</f>
        <v/>
      </c>
      <c r="L58" s="508" t="str">
        <f>invulblad!S88</f>
        <v/>
      </c>
      <c r="M58" s="508" t="str">
        <f>invulblad!T88</f>
        <v/>
      </c>
      <c r="N58" s="508" t="str">
        <f>invulblad!U88</f>
        <v/>
      </c>
      <c r="O58" s="508" t="str">
        <f>invulblad!V88</f>
        <v/>
      </c>
    </row>
    <row r="59" spans="1:15" x14ac:dyDescent="0.25">
      <c r="C59" s="506" t="s">
        <v>386</v>
      </c>
      <c r="D59" s="508">
        <f>IF(invulblad!K89="",0,invulblad!K89-D58)</f>
        <v>0.29885994188620535</v>
      </c>
      <c r="E59" s="508">
        <f>IF(invulblad!L89="",0,invulblad!L89-E58)</f>
        <v>0</v>
      </c>
      <c r="F59" s="508">
        <f>IF(invulblad!M89="",0,invulblad!M89-F58)</f>
        <v>0</v>
      </c>
      <c r="G59" s="508">
        <f>IF(invulblad!N89="",0,invulblad!N89-G58)</f>
        <v>0</v>
      </c>
      <c r="H59" s="508">
        <f>IF(invulblad!O89="",0,invulblad!O89-H58)</f>
        <v>0</v>
      </c>
      <c r="I59" s="508">
        <f>IF(invulblad!P89="",0,invulblad!P89-I58)</f>
        <v>0</v>
      </c>
      <c r="J59" s="508">
        <f>IF(invulblad!Q89="",0,invulblad!Q89-J58)</f>
        <v>0</v>
      </c>
      <c r="K59" s="508">
        <f>IF(invulblad!R89="",0,invulblad!R89-K58)</f>
        <v>0</v>
      </c>
      <c r="L59" s="508">
        <f>IF(invulblad!S89="",0,invulblad!S89-L58)</f>
        <v>0</v>
      </c>
      <c r="M59" s="508">
        <f>IF(invulblad!T89="",0,invulblad!T89-M58)</f>
        <v>0</v>
      </c>
      <c r="N59" s="508">
        <f>IF(invulblad!U89="",0,invulblad!U89-N58)</f>
        <v>0</v>
      </c>
      <c r="O59" s="508">
        <f>IF(invulblad!V89="",0,invulblad!V89-O58)</f>
        <v>0</v>
      </c>
    </row>
    <row r="60" spans="1:15" x14ac:dyDescent="0.25">
      <c r="A60" s="72" t="s">
        <v>389</v>
      </c>
      <c r="B60" s="72" t="str">
        <f>invulblad!E90</f>
        <v>mgO2/l</v>
      </c>
      <c r="C60" s="72" t="str">
        <f>invulblad!F90</f>
        <v>stationair</v>
      </c>
      <c r="D60" s="509">
        <f>invulblad!K90</f>
        <v>5.4482953967183807</v>
      </c>
      <c r="E60" s="509" t="str">
        <f>invulblad!L90</f>
        <v/>
      </c>
      <c r="F60" s="509" t="str">
        <f>invulblad!M90</f>
        <v/>
      </c>
      <c r="G60" s="509" t="str">
        <f>invulblad!N90</f>
        <v/>
      </c>
      <c r="H60" s="509" t="str">
        <f>invulblad!O90</f>
        <v/>
      </c>
      <c r="I60" s="509" t="str">
        <f>invulblad!P90</f>
        <v/>
      </c>
      <c r="J60" s="509" t="str">
        <f>invulblad!Q90</f>
        <v/>
      </c>
      <c r="K60" s="509" t="str">
        <f>invulblad!R90</f>
        <v/>
      </c>
      <c r="L60" s="509" t="str">
        <f>invulblad!S90</f>
        <v/>
      </c>
      <c r="M60" s="509" t="str">
        <f>invulblad!T90</f>
        <v/>
      </c>
      <c r="N60" s="509" t="str">
        <f>invulblad!U90</f>
        <v/>
      </c>
      <c r="O60" s="509" t="str">
        <f>invulblad!V90</f>
        <v/>
      </c>
    </row>
    <row r="61" spans="1:15" x14ac:dyDescent="0.25">
      <c r="C61" s="506" t="s">
        <v>379</v>
      </c>
      <c r="D61" s="509">
        <f>IF(invulblad!K91="",NA(),invulblad!K91)</f>
        <v>3.259218056908181</v>
      </c>
      <c r="E61" s="509" t="e">
        <f>IF(invulblad!L91="",NA(),invulblad!L91)</f>
        <v>#N/A</v>
      </c>
      <c r="F61" s="509" t="e">
        <f>IF(invulblad!M91="",NA(),invulblad!M91)</f>
        <v>#N/A</v>
      </c>
      <c r="G61" s="509" t="e">
        <f>IF(invulblad!N91="",NA(),invulblad!N91)</f>
        <v>#N/A</v>
      </c>
      <c r="H61" s="509" t="e">
        <f>IF(invulblad!O91="",NA(),invulblad!O91)</f>
        <v>#N/A</v>
      </c>
      <c r="I61" s="509" t="e">
        <f>IF(invulblad!P91="",NA(),invulblad!P91)</f>
        <v>#N/A</v>
      </c>
      <c r="J61" s="509" t="e">
        <f>IF(invulblad!Q91="",NA(),invulblad!Q91)</f>
        <v>#N/A</v>
      </c>
      <c r="K61" s="509" t="e">
        <f>IF(invulblad!R91="",NA(),invulblad!R91)</f>
        <v>#N/A</v>
      </c>
      <c r="L61" s="509" t="e">
        <f>IF(invulblad!S91="",NA(),invulblad!S91)</f>
        <v>#N/A</v>
      </c>
      <c r="M61" s="509" t="e">
        <f>IF(invulblad!T91="",NA(),invulblad!T91)</f>
        <v>#N/A</v>
      </c>
      <c r="N61" s="509" t="e">
        <f>IF(invulblad!U91="",NA(),invulblad!U91)</f>
        <v>#N/A</v>
      </c>
      <c r="O61" s="509" t="e">
        <f>IF(invulblad!V91="",NA(),invulblad!V91)</f>
        <v>#N/A</v>
      </c>
    </row>
    <row r="62" spans="1:15" x14ac:dyDescent="0.25">
      <c r="D62" s="73"/>
      <c r="E62" s="73"/>
      <c r="F62" s="73"/>
      <c r="G62" s="73"/>
      <c r="H62" s="73"/>
      <c r="I62" s="73"/>
      <c r="J62" s="73"/>
      <c r="K62" s="73"/>
      <c r="L62" s="73"/>
      <c r="M62" s="73"/>
      <c r="N62" s="73"/>
      <c r="O62" s="73"/>
    </row>
    <row r="63" spans="1:15" x14ac:dyDescent="0.25">
      <c r="D63" s="73"/>
      <c r="E63" s="73"/>
      <c r="F63" s="73"/>
      <c r="G63" s="73"/>
      <c r="H63" s="73"/>
      <c r="I63" s="73"/>
      <c r="J63" s="73"/>
      <c r="K63" s="73"/>
      <c r="L63" s="73"/>
      <c r="M63" s="73"/>
      <c r="N63" s="73"/>
      <c r="O63" s="73"/>
    </row>
    <row r="64" spans="1:15" x14ac:dyDescent="0.25">
      <c r="A64" s="72" t="s">
        <v>383</v>
      </c>
      <c r="B64" s="72" t="str">
        <f>invulblad!E102</f>
        <v>mgO2/l</v>
      </c>
      <c r="C64" s="72" t="str">
        <f>invulblad!F102</f>
        <v>(zomer)gemiddelde</v>
      </c>
      <c r="D64" s="73">
        <f>invulblad!K102</f>
        <v>3.5</v>
      </c>
      <c r="E64" s="73">
        <f>invulblad!L102</f>
        <v>0</v>
      </c>
      <c r="F64" s="73">
        <f>invulblad!M102</f>
        <v>0</v>
      </c>
      <c r="G64" s="73">
        <f>invulblad!N102</f>
        <v>0</v>
      </c>
      <c r="H64" s="73">
        <f>invulblad!O102</f>
        <v>0</v>
      </c>
      <c r="I64" s="73">
        <f>invulblad!P102</f>
        <v>0</v>
      </c>
      <c r="J64" s="73">
        <f>invulblad!Q102</f>
        <v>0</v>
      </c>
      <c r="K64" s="73">
        <f>invulblad!R102</f>
        <v>0</v>
      </c>
      <c r="L64" s="73">
        <f>invulblad!S102</f>
        <v>0</v>
      </c>
      <c r="M64" s="73">
        <f>invulblad!T102</f>
        <v>0</v>
      </c>
      <c r="N64" s="73">
        <f>invulblad!U102</f>
        <v>0</v>
      </c>
      <c r="O64" s="73">
        <f>invulblad!V102</f>
        <v>0</v>
      </c>
    </row>
    <row r="65" spans="1:15" x14ac:dyDescent="0.25">
      <c r="A65" s="72" t="s">
        <v>384</v>
      </c>
      <c r="B65" s="72" t="str">
        <f>invulblad!E103</f>
        <v>mgNH4-N/l</v>
      </c>
      <c r="C65" s="72" t="str">
        <f>invulblad!F103</f>
        <v>(zomer)gemiddelde</v>
      </c>
      <c r="D65" s="73">
        <f>invulblad!K103</f>
        <v>0.7</v>
      </c>
      <c r="E65" s="73">
        <f>invulblad!L103</f>
        <v>0</v>
      </c>
      <c r="F65" s="73">
        <f>invulblad!M103</f>
        <v>0</v>
      </c>
      <c r="G65" s="73">
        <f>invulblad!N103</f>
        <v>0</v>
      </c>
      <c r="H65" s="73">
        <f>invulblad!O103</f>
        <v>0</v>
      </c>
      <c r="I65" s="73">
        <f>invulblad!P103</f>
        <v>0</v>
      </c>
      <c r="J65" s="73">
        <f>invulblad!Q103</f>
        <v>0</v>
      </c>
      <c r="K65" s="73">
        <f>invulblad!R103</f>
        <v>0</v>
      </c>
      <c r="L65" s="73">
        <f>invulblad!S103</f>
        <v>0</v>
      </c>
      <c r="M65" s="73">
        <f>invulblad!T103</f>
        <v>0</v>
      </c>
      <c r="N65" s="73">
        <f>invulblad!U103</f>
        <v>0</v>
      </c>
      <c r="O65" s="73">
        <f>invulblad!V103</f>
        <v>0</v>
      </c>
    </row>
    <row r="66" spans="1:15" x14ac:dyDescent="0.25">
      <c r="A66" s="72" t="s">
        <v>385</v>
      </c>
      <c r="B66" s="72" t="str">
        <f>invulblad!E104</f>
        <v>mgO2/l</v>
      </c>
      <c r="C66" s="72" t="str">
        <f>invulblad!F104</f>
        <v>(zomer)gemiddelde</v>
      </c>
      <c r="D66" s="73">
        <f>invulblad!K104</f>
        <v>2</v>
      </c>
      <c r="E66" s="73">
        <f>invulblad!L104</f>
        <v>0</v>
      </c>
      <c r="F66" s="73">
        <f>invulblad!M104</f>
        <v>0</v>
      </c>
      <c r="G66" s="73">
        <f>invulblad!N104</f>
        <v>0</v>
      </c>
      <c r="H66" s="73">
        <f>invulblad!O104</f>
        <v>0</v>
      </c>
      <c r="I66" s="73">
        <f>invulblad!P104</f>
        <v>0</v>
      </c>
      <c r="J66" s="73">
        <f>invulblad!Q104</f>
        <v>0</v>
      </c>
      <c r="K66" s="73">
        <f>invulblad!R104</f>
        <v>0</v>
      </c>
      <c r="L66" s="73">
        <f>invulblad!S104</f>
        <v>0</v>
      </c>
      <c r="M66" s="73">
        <f>invulblad!T104</f>
        <v>0</v>
      </c>
      <c r="N66" s="73">
        <f>invulblad!U104</f>
        <v>0</v>
      </c>
      <c r="O66" s="73">
        <f>invulblad!V104</f>
        <v>0</v>
      </c>
    </row>
    <row r="67" spans="1:15" x14ac:dyDescent="0.25">
      <c r="D67" s="73"/>
      <c r="E67" s="73"/>
      <c r="F67" s="73"/>
      <c r="G67" s="73"/>
      <c r="H67" s="73"/>
      <c r="I67" s="73"/>
      <c r="J67" s="73"/>
      <c r="K67" s="73"/>
      <c r="L67" s="73"/>
      <c r="M67" s="73"/>
      <c r="N67" s="73"/>
      <c r="O67" s="73"/>
    </row>
    <row r="68" spans="1:15" x14ac:dyDescent="0.25">
      <c r="A68" s="72" t="s">
        <v>126</v>
      </c>
      <c r="B68" s="72" t="str">
        <f>invulblad!E49</f>
        <v>gBZV/m2/dag</v>
      </c>
      <c r="D68" s="508">
        <f>invulblad!K49</f>
        <v>0.43505136986301368</v>
      </c>
      <c r="E68" s="508">
        <f>invulblad!L49</f>
        <v>0</v>
      </c>
      <c r="F68" s="508">
        <f>invulblad!M49</f>
        <v>0</v>
      </c>
      <c r="G68" s="508">
        <f>invulblad!N49</f>
        <v>0</v>
      </c>
      <c r="H68" s="508">
        <f>invulblad!O49</f>
        <v>0</v>
      </c>
      <c r="I68" s="508">
        <f>invulblad!P49</f>
        <v>0</v>
      </c>
      <c r="J68" s="508">
        <f>invulblad!Q49</f>
        <v>0</v>
      </c>
      <c r="K68" s="508">
        <f>invulblad!R49</f>
        <v>0</v>
      </c>
      <c r="L68" s="508">
        <f>invulblad!S49</f>
        <v>0</v>
      </c>
      <c r="M68" s="508">
        <f>invulblad!T49</f>
        <v>0</v>
      </c>
      <c r="N68" s="508">
        <f>invulblad!U49</f>
        <v>0</v>
      </c>
      <c r="O68" s="508">
        <f>invulblad!V49</f>
        <v>0</v>
      </c>
    </row>
    <row r="69" spans="1:15" x14ac:dyDescent="0.25">
      <c r="A69" s="72" t="s">
        <v>390</v>
      </c>
      <c r="B69" s="72" t="str">
        <f>invulblad!E107</f>
        <v>gO2/m2/dag</v>
      </c>
      <c r="C69" s="72" t="str">
        <f>invulblad!F107</f>
        <v>ter vergelijking, zie toelichting</v>
      </c>
      <c r="D69" s="508">
        <f>invulblad!K107</f>
        <v>0</v>
      </c>
      <c r="E69" s="508">
        <f>invulblad!L107</f>
        <v>0</v>
      </c>
      <c r="F69" s="508">
        <f>invulblad!M107</f>
        <v>0</v>
      </c>
      <c r="G69" s="508">
        <f>invulblad!N107</f>
        <v>0</v>
      </c>
      <c r="H69" s="508">
        <f>invulblad!O107</f>
        <v>0</v>
      </c>
      <c r="I69" s="508">
        <f>invulblad!P107</f>
        <v>0</v>
      </c>
      <c r="J69" s="508">
        <f>invulblad!Q107</f>
        <v>0</v>
      </c>
      <c r="K69" s="508">
        <f>invulblad!R107</f>
        <v>0</v>
      </c>
      <c r="L69" s="508">
        <f>invulblad!S107</f>
        <v>0</v>
      </c>
      <c r="M69" s="508">
        <f>invulblad!T107</f>
        <v>0</v>
      </c>
      <c r="N69" s="508">
        <f>invulblad!U107</f>
        <v>0</v>
      </c>
      <c r="O69" s="508">
        <f>invulblad!V107</f>
        <v>0</v>
      </c>
    </row>
  </sheetData>
  <sheetProtection sheet="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Y102"/>
  <sheetViews>
    <sheetView zoomScale="70" zoomScaleNormal="70" workbookViewId="0"/>
  </sheetViews>
  <sheetFormatPr defaultColWidth="9.140625" defaultRowHeight="12" customHeight="1" x14ac:dyDescent="0.2"/>
  <cols>
    <col min="1" max="3" width="2.42578125" style="220" customWidth="1"/>
    <col min="4" max="4" width="26.5703125" style="220" bestFit="1" customWidth="1"/>
    <col min="5" max="5" width="13.42578125" style="220" bestFit="1" customWidth="1"/>
    <col min="6" max="6" width="23.28515625" style="220" bestFit="1" customWidth="1"/>
    <col min="7" max="10" width="7.85546875" style="220" customWidth="1"/>
    <col min="11" max="22" width="12.7109375" style="220" customWidth="1"/>
    <col min="23" max="24" width="9.140625" style="220"/>
    <col min="25" max="25" width="25.7109375" style="220" customWidth="1"/>
    <col min="26" max="16384" width="9.140625" style="220"/>
  </cols>
  <sheetData>
    <row r="1" spans="1:25" ht="12" customHeight="1" x14ac:dyDescent="0.2">
      <c r="K1" s="769" t="s">
        <v>84</v>
      </c>
      <c r="L1" s="769" t="s">
        <v>86</v>
      </c>
      <c r="M1" s="769" t="s">
        <v>87</v>
      </c>
      <c r="N1" s="770" t="s">
        <v>85</v>
      </c>
      <c r="O1" s="770" t="s">
        <v>88</v>
      </c>
      <c r="P1" s="770" t="s">
        <v>89</v>
      </c>
      <c r="Q1" s="770" t="s">
        <v>90</v>
      </c>
      <c r="R1" s="770" t="s">
        <v>91</v>
      </c>
      <c r="S1" s="770" t="s">
        <v>92</v>
      </c>
      <c r="T1" s="770" t="s">
        <v>93</v>
      </c>
      <c r="U1" s="770" t="s">
        <v>94</v>
      </c>
      <c r="V1" s="770" t="s">
        <v>95</v>
      </c>
      <c r="W1" s="664"/>
      <c r="X1" s="665"/>
      <c r="Y1" s="665"/>
    </row>
    <row r="2" spans="1:25" x14ac:dyDescent="0.2">
      <c r="K2" s="769"/>
      <c r="L2" s="769"/>
      <c r="M2" s="769"/>
      <c r="N2" s="775"/>
      <c r="O2" s="775"/>
      <c r="P2" s="775"/>
      <c r="Q2" s="775"/>
      <c r="R2" s="775"/>
      <c r="S2" s="775"/>
      <c r="T2" s="775"/>
      <c r="U2" s="775"/>
      <c r="V2" s="775"/>
      <c r="W2" s="664"/>
      <c r="X2" s="665"/>
      <c r="Y2" s="665"/>
    </row>
    <row r="3" spans="1:25" x14ac:dyDescent="0.2">
      <c r="K3" s="769"/>
      <c r="L3" s="769"/>
      <c r="M3" s="769"/>
      <c r="N3" s="775"/>
      <c r="O3" s="775"/>
      <c r="P3" s="775"/>
      <c r="Q3" s="775"/>
      <c r="R3" s="775"/>
      <c r="S3" s="775"/>
      <c r="T3" s="775"/>
      <c r="U3" s="775"/>
      <c r="V3" s="775"/>
      <c r="W3" s="664"/>
      <c r="X3" s="665"/>
      <c r="Y3" s="665"/>
    </row>
    <row r="4" spans="1:25" x14ac:dyDescent="0.2">
      <c r="K4" s="769"/>
      <c r="L4" s="769"/>
      <c r="M4" s="769"/>
      <c r="N4" s="775"/>
      <c r="O4" s="775"/>
      <c r="P4" s="775"/>
      <c r="Q4" s="775"/>
      <c r="R4" s="775"/>
      <c r="S4" s="775"/>
      <c r="T4" s="775"/>
      <c r="U4" s="775"/>
      <c r="V4" s="775"/>
      <c r="W4" s="664"/>
      <c r="X4" s="665"/>
      <c r="Y4" s="665"/>
    </row>
    <row r="5" spans="1:25" x14ac:dyDescent="0.2">
      <c r="K5" s="769"/>
      <c r="L5" s="769"/>
      <c r="M5" s="769"/>
      <c r="N5" s="775"/>
      <c r="O5" s="775"/>
      <c r="P5" s="775"/>
      <c r="Q5" s="775"/>
      <c r="R5" s="775"/>
      <c r="S5" s="775"/>
      <c r="T5" s="775"/>
      <c r="U5" s="775"/>
      <c r="V5" s="775"/>
      <c r="W5" s="664"/>
      <c r="X5" s="665"/>
      <c r="Y5" s="665"/>
    </row>
    <row r="6" spans="1:25" ht="60.75" customHeight="1" thickBot="1" x14ac:dyDescent="0.25">
      <c r="K6" s="770"/>
      <c r="L6" s="770"/>
      <c r="M6" s="770"/>
      <c r="N6" s="775"/>
      <c r="O6" s="775"/>
      <c r="P6" s="775"/>
      <c r="Q6" s="775"/>
      <c r="R6" s="775"/>
      <c r="S6" s="775"/>
      <c r="T6" s="775"/>
      <c r="U6" s="775"/>
      <c r="V6" s="775"/>
      <c r="W6" s="664"/>
      <c r="X6" s="665"/>
      <c r="Y6" s="665"/>
    </row>
    <row r="7" spans="1:25" ht="12" customHeight="1" thickBot="1" x14ac:dyDescent="0.25">
      <c r="A7" s="118" t="s">
        <v>82</v>
      </c>
      <c r="B7" s="119"/>
      <c r="C7" s="119"/>
      <c r="D7" s="120"/>
      <c r="E7" s="236"/>
      <c r="F7" s="122"/>
      <c r="G7" s="237"/>
      <c r="H7" s="237"/>
      <c r="I7" s="237"/>
      <c r="J7" s="237"/>
      <c r="K7" s="236" t="s">
        <v>416</v>
      </c>
      <c r="L7" s="121"/>
      <c r="M7" s="121"/>
      <c r="N7" s="121"/>
      <c r="O7" s="121"/>
      <c r="P7" s="121"/>
      <c r="Q7" s="121"/>
      <c r="R7" s="121"/>
      <c r="S7" s="121"/>
      <c r="T7" s="121"/>
      <c r="U7" s="121"/>
      <c r="V7" s="121"/>
      <c r="W7" s="124"/>
    </row>
    <row r="8" spans="1:25" ht="126" customHeight="1" x14ac:dyDescent="0.2">
      <c r="A8" s="99"/>
      <c r="B8" s="100"/>
      <c r="C8" s="100"/>
      <c r="D8" s="101"/>
      <c r="E8" s="102"/>
      <c r="F8" s="103"/>
      <c r="G8" s="104"/>
      <c r="H8" s="104"/>
      <c r="I8" s="104"/>
      <c r="J8" s="104"/>
      <c r="K8" s="545" t="s">
        <v>43</v>
      </c>
      <c r="L8" s="546" t="s">
        <v>44</v>
      </c>
      <c r="M8" s="546" t="s">
        <v>45</v>
      </c>
      <c r="N8" s="546" t="s">
        <v>46</v>
      </c>
      <c r="O8" s="546" t="s">
        <v>47</v>
      </c>
      <c r="P8" s="546" t="s">
        <v>48</v>
      </c>
      <c r="Q8" s="546" t="s">
        <v>36</v>
      </c>
      <c r="R8" s="546" t="s">
        <v>37</v>
      </c>
      <c r="S8" s="546" t="s">
        <v>38</v>
      </c>
      <c r="T8" s="546" t="s">
        <v>39</v>
      </c>
      <c r="U8" s="546" t="s">
        <v>40</v>
      </c>
      <c r="V8" s="547" t="s">
        <v>41</v>
      </c>
      <c r="W8" s="106"/>
    </row>
    <row r="9" spans="1:25" ht="12" customHeight="1" thickBot="1" x14ac:dyDescent="0.25">
      <c r="A9" s="107"/>
      <c r="B9" s="108"/>
      <c r="C9" s="108"/>
      <c r="D9" s="109"/>
      <c r="E9" s="110"/>
      <c r="F9" s="111"/>
      <c r="G9" s="112" t="s">
        <v>413</v>
      </c>
      <c r="H9" s="112"/>
      <c r="I9" s="112"/>
      <c r="J9" s="112"/>
      <c r="K9" s="548">
        <v>5</v>
      </c>
      <c r="L9" s="114">
        <v>5</v>
      </c>
      <c r="M9" s="114">
        <v>5</v>
      </c>
      <c r="N9" s="114">
        <v>5</v>
      </c>
      <c r="O9" s="114">
        <v>5</v>
      </c>
      <c r="P9" s="114">
        <v>5</v>
      </c>
      <c r="Q9" s="114">
        <v>5</v>
      </c>
      <c r="R9" s="114">
        <v>5</v>
      </c>
      <c r="S9" s="114">
        <v>5</v>
      </c>
      <c r="T9" s="114">
        <v>5</v>
      </c>
      <c r="U9" s="114">
        <v>5</v>
      </c>
      <c r="V9" s="549">
        <v>5</v>
      </c>
      <c r="W9" s="113"/>
    </row>
    <row r="10" spans="1:25" ht="15.75" customHeight="1" x14ac:dyDescent="0.2">
      <c r="A10" s="99"/>
      <c r="B10" s="100"/>
      <c r="C10" s="100"/>
      <c r="D10" s="101"/>
      <c r="E10" s="115"/>
      <c r="F10" s="103"/>
      <c r="G10" s="116"/>
      <c r="H10" s="116"/>
      <c r="I10" s="116"/>
      <c r="J10" s="116"/>
      <c r="K10" s="117"/>
      <c r="L10" s="117"/>
      <c r="M10" s="117"/>
      <c r="N10" s="117"/>
      <c r="O10" s="117"/>
      <c r="P10" s="117"/>
      <c r="Q10" s="117"/>
      <c r="R10" s="117"/>
      <c r="S10" s="117"/>
      <c r="T10" s="117"/>
      <c r="U10" s="117"/>
      <c r="V10" s="117"/>
      <c r="W10" s="106"/>
    </row>
    <row r="11" spans="1:25" ht="12" customHeight="1" thickBot="1" x14ac:dyDescent="0.25">
      <c r="A11" s="145" t="s">
        <v>161</v>
      </c>
      <c r="B11" s="146"/>
      <c r="C11" s="146"/>
      <c r="D11" s="148"/>
      <c r="E11" s="149"/>
      <c r="F11" s="150"/>
      <c r="G11" s="151"/>
      <c r="H11" s="151"/>
      <c r="I11" s="151"/>
      <c r="J11" s="151"/>
      <c r="K11" s="149"/>
      <c r="L11" s="149"/>
      <c r="M11" s="149"/>
      <c r="N11" s="149"/>
      <c r="O11" s="149"/>
      <c r="P11" s="149"/>
      <c r="Q11" s="149"/>
      <c r="R11" s="149"/>
      <c r="S11" s="149"/>
      <c r="T11" s="149"/>
      <c r="U11" s="149"/>
      <c r="V11" s="149"/>
      <c r="W11" s="152"/>
    </row>
    <row r="12" spans="1:25" ht="12" customHeight="1" x14ac:dyDescent="0.2">
      <c r="A12" s="118"/>
      <c r="B12" s="119" t="s">
        <v>0</v>
      </c>
      <c r="C12" s="119"/>
      <c r="D12" s="120"/>
      <c r="E12" s="121"/>
      <c r="F12" s="122"/>
      <c r="G12" s="123"/>
      <c r="H12" s="123"/>
      <c r="I12" s="123"/>
      <c r="J12" s="123"/>
      <c r="K12" s="121"/>
      <c r="L12" s="121"/>
      <c r="M12" s="121"/>
      <c r="N12" s="121"/>
      <c r="O12" s="121"/>
      <c r="P12" s="121"/>
      <c r="Q12" s="121"/>
      <c r="R12" s="121"/>
      <c r="S12" s="121"/>
      <c r="T12" s="121"/>
      <c r="U12" s="121"/>
      <c r="V12" s="121"/>
      <c r="W12" s="124"/>
    </row>
    <row r="13" spans="1:25" ht="12" customHeight="1" thickBot="1" x14ac:dyDescent="0.25">
      <c r="A13" s="99"/>
      <c r="B13" s="100"/>
      <c r="C13" s="100" t="s">
        <v>314</v>
      </c>
      <c r="D13" s="101"/>
      <c r="E13" s="105"/>
      <c r="F13" s="103"/>
      <c r="G13" s="143"/>
      <c r="H13" s="143"/>
      <c r="I13" s="143"/>
      <c r="J13" s="143"/>
      <c r="K13" s="105"/>
      <c r="L13" s="105"/>
      <c r="M13" s="105"/>
      <c r="N13" s="105"/>
      <c r="O13" s="105"/>
      <c r="P13" s="105"/>
      <c r="Q13" s="105"/>
      <c r="R13" s="105"/>
      <c r="S13" s="105"/>
      <c r="T13" s="105"/>
      <c r="U13" s="105"/>
      <c r="V13" s="105"/>
      <c r="W13" s="106"/>
    </row>
    <row r="14" spans="1:25" ht="95.25" customHeight="1" x14ac:dyDescent="0.2">
      <c r="A14" s="99"/>
      <c r="B14" s="100"/>
      <c r="C14" s="101"/>
      <c r="D14" s="550" t="s">
        <v>54</v>
      </c>
      <c r="E14" s="551" t="s">
        <v>6</v>
      </c>
      <c r="F14" s="552" t="s">
        <v>16</v>
      </c>
      <c r="G14" s="553" t="s">
        <v>417</v>
      </c>
      <c r="H14" s="553" t="s">
        <v>391</v>
      </c>
      <c r="I14" s="553" t="s">
        <v>418</v>
      </c>
      <c r="J14" s="553" t="s">
        <v>392</v>
      </c>
      <c r="K14" s="554" t="s">
        <v>43</v>
      </c>
      <c r="L14" s="554" t="s">
        <v>44</v>
      </c>
      <c r="M14" s="554" t="s">
        <v>45</v>
      </c>
      <c r="N14" s="554" t="s">
        <v>46</v>
      </c>
      <c r="O14" s="554" t="s">
        <v>47</v>
      </c>
      <c r="P14" s="554" t="s">
        <v>48</v>
      </c>
      <c r="Q14" s="554" t="s">
        <v>36</v>
      </c>
      <c r="R14" s="554" t="s">
        <v>37</v>
      </c>
      <c r="S14" s="554" t="s">
        <v>38</v>
      </c>
      <c r="T14" s="554" t="s">
        <v>39</v>
      </c>
      <c r="U14" s="554" t="s">
        <v>40</v>
      </c>
      <c r="V14" s="555" t="s">
        <v>41</v>
      </c>
      <c r="W14" s="106"/>
    </row>
    <row r="15" spans="1:25" ht="12" customHeight="1" x14ac:dyDescent="0.2">
      <c r="A15" s="99"/>
      <c r="B15" s="100"/>
      <c r="C15" s="100"/>
      <c r="D15" s="772" t="s">
        <v>439</v>
      </c>
      <c r="E15" s="126" t="s">
        <v>419</v>
      </c>
      <c r="F15" s="127" t="s">
        <v>420</v>
      </c>
      <c r="G15" s="666">
        <v>5</v>
      </c>
      <c r="H15" s="667">
        <v>0</v>
      </c>
      <c r="I15" s="557" t="s">
        <v>394</v>
      </c>
      <c r="J15" s="557" t="s">
        <v>394</v>
      </c>
      <c r="K15" s="129"/>
      <c r="L15" s="130"/>
      <c r="M15" s="130"/>
      <c r="N15" s="130"/>
      <c r="O15" s="130"/>
      <c r="P15" s="130"/>
      <c r="Q15" s="130">
        <v>168</v>
      </c>
      <c r="R15" s="130"/>
      <c r="S15" s="130"/>
      <c r="T15" s="130">
        <v>3369</v>
      </c>
      <c r="U15" s="130"/>
      <c r="V15" s="558"/>
      <c r="W15" s="106"/>
    </row>
    <row r="16" spans="1:25" ht="12" customHeight="1" x14ac:dyDescent="0.2">
      <c r="A16" s="99"/>
      <c r="B16" s="100"/>
      <c r="C16" s="100"/>
      <c r="D16" s="773"/>
      <c r="E16" s="126" t="s">
        <v>421</v>
      </c>
      <c r="F16" s="127" t="s">
        <v>410</v>
      </c>
      <c r="G16" s="559" t="s">
        <v>394</v>
      </c>
      <c r="H16" s="557" t="s">
        <v>394</v>
      </c>
      <c r="I16" s="667">
        <v>4.1095890410958902E-2</v>
      </c>
      <c r="J16" s="128">
        <v>30</v>
      </c>
      <c r="K16" s="129"/>
      <c r="L16" s="130"/>
      <c r="M16" s="130"/>
      <c r="N16" s="130"/>
      <c r="O16" s="130"/>
      <c r="P16" s="130"/>
      <c r="Q16" s="130">
        <v>802</v>
      </c>
      <c r="R16" s="130"/>
      <c r="S16" s="130"/>
      <c r="T16" s="130">
        <v>16043</v>
      </c>
      <c r="U16" s="130"/>
      <c r="V16" s="558"/>
      <c r="W16" s="106"/>
    </row>
    <row r="17" spans="1:23" ht="12" customHeight="1" x14ac:dyDescent="0.2">
      <c r="A17" s="99"/>
      <c r="B17" s="100"/>
      <c r="C17" s="100"/>
      <c r="D17" s="772" t="s">
        <v>440</v>
      </c>
      <c r="E17" s="126" t="s">
        <v>419</v>
      </c>
      <c r="F17" s="127" t="s">
        <v>420</v>
      </c>
      <c r="G17" s="666">
        <v>10</v>
      </c>
      <c r="H17" s="667">
        <v>0</v>
      </c>
      <c r="I17" s="557" t="s">
        <v>394</v>
      </c>
      <c r="J17" s="557" t="s">
        <v>394</v>
      </c>
      <c r="K17" s="129"/>
      <c r="L17" s="130"/>
      <c r="M17" s="130"/>
      <c r="N17" s="130"/>
      <c r="O17" s="130"/>
      <c r="P17" s="130"/>
      <c r="Q17" s="130"/>
      <c r="R17" s="130">
        <v>168</v>
      </c>
      <c r="S17" s="130"/>
      <c r="T17" s="130"/>
      <c r="U17" s="130">
        <v>3369</v>
      </c>
      <c r="V17" s="558"/>
      <c r="W17" s="106"/>
    </row>
    <row r="18" spans="1:23" ht="12" customHeight="1" x14ac:dyDescent="0.2">
      <c r="A18" s="99"/>
      <c r="B18" s="100"/>
      <c r="C18" s="100"/>
      <c r="D18" s="773"/>
      <c r="E18" s="126" t="s">
        <v>421</v>
      </c>
      <c r="F18" s="127" t="s">
        <v>410</v>
      </c>
      <c r="G18" s="557" t="s">
        <v>394</v>
      </c>
      <c r="H18" s="557" t="s">
        <v>394</v>
      </c>
      <c r="I18" s="667">
        <v>8.2191780821917804E-2</v>
      </c>
      <c r="J18" s="128">
        <v>30</v>
      </c>
      <c r="K18" s="129"/>
      <c r="L18" s="130"/>
      <c r="M18" s="130"/>
      <c r="N18" s="130"/>
      <c r="O18" s="130"/>
      <c r="P18" s="130"/>
      <c r="Q18" s="130"/>
      <c r="R18" s="130">
        <v>802</v>
      </c>
      <c r="S18" s="130"/>
      <c r="T18" s="130"/>
      <c r="U18" s="130">
        <v>16043</v>
      </c>
      <c r="V18" s="558"/>
      <c r="W18" s="106"/>
    </row>
    <row r="19" spans="1:23" ht="12" customHeight="1" x14ac:dyDescent="0.2">
      <c r="A19" s="99"/>
      <c r="B19" s="100"/>
      <c r="C19" s="100"/>
      <c r="D19" s="772" t="s">
        <v>441</v>
      </c>
      <c r="E19" s="126" t="s">
        <v>419</v>
      </c>
      <c r="F19" s="127" t="s">
        <v>420</v>
      </c>
      <c r="G19" s="666">
        <v>15</v>
      </c>
      <c r="H19" s="667">
        <v>0</v>
      </c>
      <c r="I19" s="557" t="s">
        <v>394</v>
      </c>
      <c r="J19" s="557" t="s">
        <v>394</v>
      </c>
      <c r="K19" s="129"/>
      <c r="L19" s="130"/>
      <c r="M19" s="130"/>
      <c r="N19" s="130"/>
      <c r="O19" s="130"/>
      <c r="P19" s="130"/>
      <c r="Q19" s="130"/>
      <c r="R19" s="130"/>
      <c r="S19" s="130">
        <v>168</v>
      </c>
      <c r="T19" s="130"/>
      <c r="U19" s="130"/>
      <c r="V19" s="130">
        <v>3369</v>
      </c>
      <c r="W19" s="106"/>
    </row>
    <row r="20" spans="1:23" ht="12" customHeight="1" x14ac:dyDescent="0.2">
      <c r="A20" s="99"/>
      <c r="B20" s="100"/>
      <c r="C20" s="100"/>
      <c r="D20" s="773"/>
      <c r="E20" s="126" t="s">
        <v>421</v>
      </c>
      <c r="F20" s="127" t="s">
        <v>410</v>
      </c>
      <c r="G20" s="557" t="s">
        <v>394</v>
      </c>
      <c r="H20" s="557" t="s">
        <v>394</v>
      </c>
      <c r="I20" s="667">
        <v>0.12328767123287671</v>
      </c>
      <c r="J20" s="128">
        <v>30</v>
      </c>
      <c r="K20" s="129"/>
      <c r="L20" s="130"/>
      <c r="M20" s="130"/>
      <c r="N20" s="130"/>
      <c r="O20" s="130"/>
      <c r="P20" s="130"/>
      <c r="Q20" s="130"/>
      <c r="R20" s="130"/>
      <c r="S20" s="130">
        <v>802</v>
      </c>
      <c r="T20" s="130"/>
      <c r="U20" s="130"/>
      <c r="V20" s="130">
        <v>16043</v>
      </c>
      <c r="W20" s="106"/>
    </row>
    <row r="21" spans="1:23" ht="12" customHeight="1" x14ac:dyDescent="0.2">
      <c r="A21" s="99"/>
      <c r="B21" s="100"/>
      <c r="C21" s="100"/>
      <c r="D21" s="560"/>
      <c r="E21" s="105"/>
      <c r="F21" s="103"/>
      <c r="G21" s="131"/>
      <c r="H21" s="561"/>
      <c r="I21" s="131"/>
      <c r="J21" s="131"/>
      <c r="K21" s="138"/>
      <c r="L21" s="138"/>
      <c r="M21" s="138"/>
      <c r="N21" s="138"/>
      <c r="O21" s="138"/>
      <c r="P21" s="138"/>
      <c r="Q21" s="138"/>
      <c r="R21" s="138"/>
      <c r="S21" s="138"/>
      <c r="T21" s="138"/>
      <c r="U21" s="138"/>
      <c r="V21" s="562"/>
      <c r="W21" s="106"/>
    </row>
    <row r="22" spans="1:23" ht="12" customHeight="1" x14ac:dyDescent="0.2">
      <c r="A22" s="99"/>
      <c r="B22" s="100"/>
      <c r="C22" s="101"/>
      <c r="D22" s="563" t="s">
        <v>55</v>
      </c>
      <c r="E22" s="105"/>
      <c r="F22" s="103"/>
      <c r="G22" s="131"/>
      <c r="H22" s="131"/>
      <c r="I22" s="131"/>
      <c r="J22" s="131"/>
      <c r="K22" s="117"/>
      <c r="L22" s="117"/>
      <c r="M22" s="117"/>
      <c r="N22" s="117"/>
      <c r="O22" s="117"/>
      <c r="P22" s="117"/>
      <c r="Q22" s="132"/>
      <c r="R22" s="132"/>
      <c r="S22" s="132"/>
      <c r="T22" s="132"/>
      <c r="U22" s="132"/>
      <c r="V22" s="564"/>
      <c r="W22" s="106"/>
    </row>
    <row r="23" spans="1:23" ht="12" customHeight="1" x14ac:dyDescent="0.2">
      <c r="A23" s="99"/>
      <c r="B23" s="100"/>
      <c r="C23" s="100"/>
      <c r="D23" s="565" t="s">
        <v>49</v>
      </c>
      <c r="E23" s="126" t="s">
        <v>182</v>
      </c>
      <c r="F23" s="127" t="s">
        <v>20</v>
      </c>
      <c r="G23" s="128">
        <v>4</v>
      </c>
      <c r="H23" s="556">
        <v>1</v>
      </c>
      <c r="I23" s="128">
        <v>6.1999999999999993</v>
      </c>
      <c r="J23" s="128">
        <v>1</v>
      </c>
      <c r="K23" s="129"/>
      <c r="L23" s="130"/>
      <c r="M23" s="130"/>
      <c r="N23" s="130"/>
      <c r="O23" s="130"/>
      <c r="P23" s="130"/>
      <c r="Q23" s="130"/>
      <c r="R23" s="130"/>
      <c r="S23" s="130"/>
      <c r="T23" s="130"/>
      <c r="U23" s="130"/>
      <c r="V23" s="558"/>
      <c r="W23" s="106"/>
    </row>
    <row r="24" spans="1:23" ht="12" customHeight="1" x14ac:dyDescent="0.2">
      <c r="A24" s="99"/>
      <c r="B24" s="100"/>
      <c r="C24" s="100"/>
      <c r="D24" s="565" t="s">
        <v>53</v>
      </c>
      <c r="E24" s="126" t="s">
        <v>182</v>
      </c>
      <c r="F24" s="127" t="s">
        <v>20</v>
      </c>
      <c r="G24" s="128">
        <v>4</v>
      </c>
      <c r="H24" s="556">
        <v>1</v>
      </c>
      <c r="I24" s="128">
        <v>33</v>
      </c>
      <c r="J24" s="128">
        <v>1</v>
      </c>
      <c r="K24" s="129"/>
      <c r="L24" s="130"/>
      <c r="M24" s="130"/>
      <c r="N24" s="130"/>
      <c r="O24" s="130"/>
      <c r="P24" s="130"/>
      <c r="Q24" s="130"/>
      <c r="R24" s="130"/>
      <c r="S24" s="130"/>
      <c r="T24" s="130"/>
      <c r="U24" s="130"/>
      <c r="V24" s="558"/>
      <c r="W24" s="106"/>
    </row>
    <row r="25" spans="1:23" ht="12" customHeight="1" x14ac:dyDescent="0.2">
      <c r="A25" s="99"/>
      <c r="B25" s="100"/>
      <c r="C25" s="100"/>
      <c r="D25" s="565" t="s">
        <v>3</v>
      </c>
      <c r="E25" s="126" t="s">
        <v>7</v>
      </c>
      <c r="F25" s="127" t="s">
        <v>20</v>
      </c>
      <c r="G25" s="128">
        <v>225</v>
      </c>
      <c r="H25" s="556">
        <v>15</v>
      </c>
      <c r="I25" s="128">
        <v>150</v>
      </c>
      <c r="J25" s="128">
        <v>1</v>
      </c>
      <c r="K25" s="129"/>
      <c r="L25" s="130"/>
      <c r="M25" s="130"/>
      <c r="N25" s="130">
        <v>1</v>
      </c>
      <c r="O25" s="130">
        <v>1</v>
      </c>
      <c r="P25" s="130">
        <v>1</v>
      </c>
      <c r="Q25" s="130"/>
      <c r="R25" s="130"/>
      <c r="S25" s="130"/>
      <c r="T25" s="130"/>
      <c r="U25" s="130"/>
      <c r="V25" s="558"/>
      <c r="W25" s="106"/>
    </row>
    <row r="26" spans="1:23" ht="12" customHeight="1" x14ac:dyDescent="0.2">
      <c r="A26" s="99"/>
      <c r="B26" s="100"/>
      <c r="C26" s="100"/>
      <c r="D26" s="565" t="s">
        <v>1</v>
      </c>
      <c r="E26" s="126" t="s">
        <v>7</v>
      </c>
      <c r="F26" s="127" t="s">
        <v>20</v>
      </c>
      <c r="G26" s="128">
        <v>11.5</v>
      </c>
      <c r="H26" s="128">
        <v>7.5</v>
      </c>
      <c r="I26" s="128">
        <v>53.5</v>
      </c>
      <c r="J26" s="128">
        <v>1</v>
      </c>
      <c r="K26" s="129">
        <v>1</v>
      </c>
      <c r="L26" s="130">
        <v>1</v>
      </c>
      <c r="M26" s="130">
        <v>1</v>
      </c>
      <c r="N26" s="130"/>
      <c r="O26" s="130"/>
      <c r="P26" s="130"/>
      <c r="Q26" s="130"/>
      <c r="R26" s="130"/>
      <c r="S26" s="130"/>
      <c r="T26" s="130"/>
      <c r="U26" s="130"/>
      <c r="V26" s="558"/>
      <c r="W26" s="106"/>
    </row>
    <row r="27" spans="1:23" ht="12" customHeight="1" x14ac:dyDescent="0.2">
      <c r="A27" s="99"/>
      <c r="B27" s="100"/>
      <c r="C27" s="100"/>
      <c r="D27" s="565" t="s">
        <v>62</v>
      </c>
      <c r="E27" s="126" t="s">
        <v>422</v>
      </c>
      <c r="F27" s="127" t="s">
        <v>20</v>
      </c>
      <c r="G27" s="556">
        <v>0</v>
      </c>
      <c r="H27" s="128">
        <v>0</v>
      </c>
      <c r="I27" s="556">
        <v>0.41099999999999998</v>
      </c>
      <c r="J27" s="128">
        <v>100</v>
      </c>
      <c r="K27" s="129"/>
      <c r="L27" s="130"/>
      <c r="M27" s="130"/>
      <c r="N27" s="130"/>
      <c r="O27" s="130"/>
      <c r="P27" s="130"/>
      <c r="Q27" s="130"/>
      <c r="R27" s="130"/>
      <c r="S27" s="130"/>
      <c r="T27" s="130"/>
      <c r="U27" s="130"/>
      <c r="V27" s="558"/>
      <c r="W27" s="106"/>
    </row>
    <row r="28" spans="1:23" ht="12" customHeight="1" x14ac:dyDescent="0.2">
      <c r="A28" s="99"/>
      <c r="B28" s="100"/>
      <c r="C28" s="100"/>
      <c r="D28" s="565" t="s">
        <v>63</v>
      </c>
      <c r="E28" s="126" t="s">
        <v>422</v>
      </c>
      <c r="F28" s="127" t="s">
        <v>20</v>
      </c>
      <c r="G28" s="556">
        <v>0</v>
      </c>
      <c r="H28" s="128">
        <v>0</v>
      </c>
      <c r="I28" s="556">
        <v>0.13700000000000001</v>
      </c>
      <c r="J28" s="128">
        <v>100</v>
      </c>
      <c r="K28" s="129"/>
      <c r="L28" s="130"/>
      <c r="M28" s="130"/>
      <c r="N28" s="130"/>
      <c r="O28" s="130"/>
      <c r="P28" s="130"/>
      <c r="Q28" s="130"/>
      <c r="R28" s="130"/>
      <c r="S28" s="130"/>
      <c r="T28" s="130"/>
      <c r="U28" s="130"/>
      <c r="V28" s="558"/>
      <c r="W28" s="106"/>
    </row>
    <row r="29" spans="1:23" ht="12" customHeight="1" x14ac:dyDescent="0.2">
      <c r="A29" s="99"/>
      <c r="B29" s="100"/>
      <c r="C29" s="100"/>
      <c r="D29" s="774" t="s">
        <v>2</v>
      </c>
      <c r="E29" s="767" t="s">
        <v>66</v>
      </c>
      <c r="F29" s="127" t="s">
        <v>74</v>
      </c>
      <c r="G29" s="133">
        <v>4.0000000000000001E-3</v>
      </c>
      <c r="H29" s="128">
        <v>0</v>
      </c>
      <c r="I29" s="133">
        <v>4.0000000000000001E-3</v>
      </c>
      <c r="J29" s="128">
        <v>1</v>
      </c>
      <c r="K29" s="129"/>
      <c r="L29" s="130"/>
      <c r="M29" s="130"/>
      <c r="N29" s="130"/>
      <c r="O29" s="130"/>
      <c r="P29" s="130"/>
      <c r="Q29" s="130"/>
      <c r="R29" s="130"/>
      <c r="S29" s="130"/>
      <c r="T29" s="130"/>
      <c r="U29" s="130"/>
      <c r="V29" s="558"/>
      <c r="W29" s="106"/>
    </row>
    <row r="30" spans="1:23" ht="12" customHeight="1" x14ac:dyDescent="0.2">
      <c r="A30" s="99"/>
      <c r="B30" s="100"/>
      <c r="C30" s="100"/>
      <c r="D30" s="774"/>
      <c r="E30" s="767"/>
      <c r="F30" s="127" t="s">
        <v>75</v>
      </c>
      <c r="G30" s="133">
        <v>2.5000000000000001E-2</v>
      </c>
      <c r="H30" s="128">
        <v>0</v>
      </c>
      <c r="I30" s="133">
        <v>2.5000000000000001E-2</v>
      </c>
      <c r="J30" s="128">
        <v>1</v>
      </c>
      <c r="K30" s="129"/>
      <c r="L30" s="130"/>
      <c r="M30" s="130"/>
      <c r="N30" s="130"/>
      <c r="O30" s="130"/>
      <c r="P30" s="130"/>
      <c r="Q30" s="130"/>
      <c r="R30" s="130"/>
      <c r="S30" s="130"/>
      <c r="T30" s="130"/>
      <c r="U30" s="130"/>
      <c r="V30" s="558"/>
      <c r="W30" s="106"/>
    </row>
    <row r="31" spans="1:23" ht="12" customHeight="1" x14ac:dyDescent="0.2">
      <c r="A31" s="99"/>
      <c r="B31" s="100"/>
      <c r="C31" s="100"/>
      <c r="D31" s="774"/>
      <c r="E31" s="767"/>
      <c r="F31" s="566" t="s">
        <v>76</v>
      </c>
      <c r="G31" s="133">
        <v>6.3E-2</v>
      </c>
      <c r="H31" s="128">
        <v>0</v>
      </c>
      <c r="I31" s="133">
        <v>6.3E-2</v>
      </c>
      <c r="J31" s="128">
        <v>1</v>
      </c>
      <c r="K31" s="129"/>
      <c r="L31" s="130"/>
      <c r="M31" s="130"/>
      <c r="N31" s="130"/>
      <c r="O31" s="130"/>
      <c r="P31" s="130"/>
      <c r="Q31" s="130"/>
      <c r="R31" s="130"/>
      <c r="S31" s="130"/>
      <c r="T31" s="130"/>
      <c r="U31" s="130"/>
      <c r="V31" s="558"/>
      <c r="W31" s="106"/>
    </row>
    <row r="32" spans="1:23" ht="12" customHeight="1" x14ac:dyDescent="0.2">
      <c r="A32" s="99"/>
      <c r="B32" s="100"/>
      <c r="C32" s="100"/>
      <c r="D32" s="774" t="s">
        <v>4</v>
      </c>
      <c r="E32" s="771" t="s">
        <v>68</v>
      </c>
      <c r="F32" s="127" t="s">
        <v>74</v>
      </c>
      <c r="G32" s="128">
        <v>15</v>
      </c>
      <c r="H32" s="128">
        <v>0</v>
      </c>
      <c r="I32" s="128">
        <v>30</v>
      </c>
      <c r="J32" s="128">
        <v>100</v>
      </c>
      <c r="K32" s="129"/>
      <c r="L32" s="130"/>
      <c r="M32" s="130"/>
      <c r="N32" s="130"/>
      <c r="O32" s="130"/>
      <c r="P32" s="130"/>
      <c r="Q32" s="130"/>
      <c r="R32" s="130"/>
      <c r="S32" s="130"/>
      <c r="T32" s="130"/>
      <c r="U32" s="130"/>
      <c r="V32" s="558"/>
      <c r="W32" s="106"/>
    </row>
    <row r="33" spans="1:23" ht="12" customHeight="1" x14ac:dyDescent="0.2">
      <c r="A33" s="99"/>
      <c r="B33" s="100"/>
      <c r="C33" s="100"/>
      <c r="D33" s="774"/>
      <c r="E33" s="771"/>
      <c r="F33" s="127" t="s">
        <v>75</v>
      </c>
      <c r="G33" s="128">
        <v>40</v>
      </c>
      <c r="H33" s="128">
        <v>0</v>
      </c>
      <c r="I33" s="128">
        <v>130</v>
      </c>
      <c r="J33" s="128">
        <v>100</v>
      </c>
      <c r="K33" s="129"/>
      <c r="L33" s="130"/>
      <c r="M33" s="130"/>
      <c r="N33" s="130"/>
      <c r="O33" s="130"/>
      <c r="P33" s="130"/>
      <c r="Q33" s="130"/>
      <c r="R33" s="130"/>
      <c r="S33" s="130"/>
      <c r="T33" s="130"/>
      <c r="U33" s="130"/>
      <c r="V33" s="558"/>
      <c r="W33" s="106"/>
    </row>
    <row r="34" spans="1:23" ht="12" customHeight="1" x14ac:dyDescent="0.2">
      <c r="A34" s="99"/>
      <c r="B34" s="100"/>
      <c r="C34" s="100"/>
      <c r="D34" s="774"/>
      <c r="E34" s="771"/>
      <c r="F34" s="566" t="s">
        <v>76</v>
      </c>
      <c r="G34" s="128">
        <v>80</v>
      </c>
      <c r="H34" s="128">
        <v>0</v>
      </c>
      <c r="I34" s="128">
        <v>300</v>
      </c>
      <c r="J34" s="128">
        <v>100</v>
      </c>
      <c r="K34" s="129"/>
      <c r="L34" s="130"/>
      <c r="M34" s="130"/>
      <c r="N34" s="130"/>
      <c r="O34" s="130"/>
      <c r="P34" s="130"/>
      <c r="Q34" s="130"/>
      <c r="R34" s="130"/>
      <c r="S34" s="130"/>
      <c r="T34" s="130"/>
      <c r="U34" s="130"/>
      <c r="V34" s="558"/>
      <c r="W34" s="106"/>
    </row>
    <row r="35" spans="1:23" ht="12" customHeight="1" x14ac:dyDescent="0.2">
      <c r="A35" s="99"/>
      <c r="B35" s="100"/>
      <c r="C35" s="100"/>
      <c r="D35" s="565" t="s">
        <v>5</v>
      </c>
      <c r="E35" s="126" t="s">
        <v>73</v>
      </c>
      <c r="F35" s="566" t="s">
        <v>20</v>
      </c>
      <c r="G35" s="128">
        <v>100</v>
      </c>
      <c r="H35" s="128">
        <v>0</v>
      </c>
      <c r="I35" s="128">
        <v>900</v>
      </c>
      <c r="J35" s="128">
        <v>100</v>
      </c>
      <c r="K35" s="129"/>
      <c r="L35" s="130"/>
      <c r="M35" s="130"/>
      <c r="N35" s="130"/>
      <c r="O35" s="130"/>
      <c r="P35" s="130"/>
      <c r="Q35" s="130"/>
      <c r="R35" s="130"/>
      <c r="S35" s="130"/>
      <c r="T35" s="130"/>
      <c r="U35" s="130"/>
      <c r="V35" s="558"/>
      <c r="W35" s="106"/>
    </row>
    <row r="36" spans="1:23" ht="12" customHeight="1" x14ac:dyDescent="0.2">
      <c r="A36" s="99"/>
      <c r="B36" s="100"/>
      <c r="C36" s="100"/>
      <c r="D36" s="567" t="s">
        <v>121</v>
      </c>
      <c r="E36" s="767" t="s">
        <v>423</v>
      </c>
      <c r="F36" s="127" t="s">
        <v>74</v>
      </c>
      <c r="G36" s="135">
        <v>1.55E-2</v>
      </c>
      <c r="H36" s="135">
        <v>1.6000000000000001E-3</v>
      </c>
      <c r="I36" s="135">
        <v>1.55E-2</v>
      </c>
      <c r="J36" s="128">
        <v>1</v>
      </c>
      <c r="K36" s="129"/>
      <c r="L36" s="130"/>
      <c r="M36" s="130"/>
      <c r="N36" s="130"/>
      <c r="O36" s="130"/>
      <c r="P36" s="130"/>
      <c r="Q36" s="130"/>
      <c r="R36" s="130"/>
      <c r="S36" s="130"/>
      <c r="T36" s="130"/>
      <c r="U36" s="130"/>
      <c r="V36" s="558"/>
      <c r="W36" s="106"/>
    </row>
    <row r="37" spans="1:23" ht="12" customHeight="1" x14ac:dyDescent="0.2">
      <c r="A37" s="99"/>
      <c r="B37" s="100"/>
      <c r="C37" s="100"/>
      <c r="D37" s="768" t="s">
        <v>122</v>
      </c>
      <c r="E37" s="767"/>
      <c r="F37" s="127" t="s">
        <v>75</v>
      </c>
      <c r="G37" s="135">
        <v>3.5499999999999997E-2</v>
      </c>
      <c r="H37" s="135">
        <v>3.8999999999999998E-3</v>
      </c>
      <c r="I37" s="135">
        <v>3.5499999999999997E-2</v>
      </c>
      <c r="J37" s="128">
        <v>1</v>
      </c>
      <c r="K37" s="129"/>
      <c r="L37" s="130"/>
      <c r="M37" s="130"/>
      <c r="N37" s="130"/>
      <c r="O37" s="130"/>
      <c r="P37" s="130"/>
      <c r="Q37" s="130"/>
      <c r="R37" s="130"/>
      <c r="S37" s="130"/>
      <c r="T37" s="130"/>
      <c r="U37" s="130"/>
      <c r="V37" s="558"/>
      <c r="W37" s="106"/>
    </row>
    <row r="38" spans="1:23" ht="12" customHeight="1" x14ac:dyDescent="0.2">
      <c r="A38" s="99"/>
      <c r="B38" s="100"/>
      <c r="C38" s="100"/>
      <c r="D38" s="768"/>
      <c r="E38" s="767"/>
      <c r="F38" s="566" t="s">
        <v>76</v>
      </c>
      <c r="G38" s="135">
        <v>7.0999999999999994E-2</v>
      </c>
      <c r="H38" s="135">
        <v>7.9000000000000008E-3</v>
      </c>
      <c r="I38" s="135">
        <v>7.0999999999999994E-2</v>
      </c>
      <c r="J38" s="128">
        <v>1</v>
      </c>
      <c r="K38" s="129"/>
      <c r="L38" s="130"/>
      <c r="M38" s="130"/>
      <c r="N38" s="130"/>
      <c r="O38" s="130"/>
      <c r="P38" s="130"/>
      <c r="Q38" s="130"/>
      <c r="R38" s="130"/>
      <c r="S38" s="130"/>
      <c r="T38" s="130"/>
      <c r="U38" s="130"/>
      <c r="V38" s="558"/>
      <c r="W38" s="106"/>
    </row>
    <row r="39" spans="1:23" ht="12" customHeight="1" x14ac:dyDescent="0.2">
      <c r="A39" s="99"/>
      <c r="B39" s="100"/>
      <c r="C39" s="100"/>
      <c r="D39" s="568" t="s">
        <v>28</v>
      </c>
      <c r="E39" s="136" t="s">
        <v>80</v>
      </c>
      <c r="F39" s="569" t="s">
        <v>79</v>
      </c>
      <c r="G39" s="137">
        <v>24</v>
      </c>
      <c r="H39" s="137">
        <v>0</v>
      </c>
      <c r="I39" s="137">
        <v>0</v>
      </c>
      <c r="J39" s="137">
        <v>0</v>
      </c>
      <c r="K39" s="130"/>
      <c r="L39" s="130"/>
      <c r="M39" s="130"/>
      <c r="N39" s="130"/>
      <c r="O39" s="130"/>
      <c r="P39" s="130"/>
      <c r="Q39" s="130"/>
      <c r="R39" s="130"/>
      <c r="S39" s="130"/>
      <c r="T39" s="130"/>
      <c r="U39" s="130"/>
      <c r="V39" s="558"/>
      <c r="W39" s="106"/>
    </row>
    <row r="40" spans="1:23" ht="12" customHeight="1" x14ac:dyDescent="0.2">
      <c r="A40" s="99"/>
      <c r="B40" s="100"/>
      <c r="C40" s="100"/>
      <c r="D40" s="568" t="s">
        <v>29</v>
      </c>
      <c r="E40" s="136" t="s">
        <v>80</v>
      </c>
      <c r="F40" s="569" t="s">
        <v>79</v>
      </c>
      <c r="G40" s="137">
        <v>49.199999999999996</v>
      </c>
      <c r="H40" s="137">
        <v>0</v>
      </c>
      <c r="I40" s="137">
        <v>0</v>
      </c>
      <c r="J40" s="137">
        <v>0</v>
      </c>
      <c r="K40" s="130"/>
      <c r="L40" s="130"/>
      <c r="M40" s="130"/>
      <c r="N40" s="130"/>
      <c r="O40" s="130"/>
      <c r="P40" s="130"/>
      <c r="Q40" s="130"/>
      <c r="R40" s="130"/>
      <c r="S40" s="130"/>
      <c r="T40" s="130"/>
      <c r="U40" s="130"/>
      <c r="V40" s="558"/>
      <c r="W40" s="106"/>
    </row>
    <row r="41" spans="1:23" ht="12" customHeight="1" x14ac:dyDescent="0.2">
      <c r="A41" s="99"/>
      <c r="B41" s="100"/>
      <c r="C41" s="100"/>
      <c r="D41" s="568" t="s">
        <v>30</v>
      </c>
      <c r="E41" s="136" t="s">
        <v>80</v>
      </c>
      <c r="F41" s="569" t="s">
        <v>79</v>
      </c>
      <c r="G41" s="137">
        <v>74.399999999999991</v>
      </c>
      <c r="H41" s="137">
        <v>0</v>
      </c>
      <c r="I41" s="137">
        <v>0</v>
      </c>
      <c r="J41" s="137">
        <v>0</v>
      </c>
      <c r="K41" s="130"/>
      <c r="L41" s="130"/>
      <c r="M41" s="130"/>
      <c r="N41" s="130"/>
      <c r="O41" s="130"/>
      <c r="P41" s="130"/>
      <c r="Q41" s="130"/>
      <c r="R41" s="130"/>
      <c r="S41" s="130"/>
      <c r="T41" s="130"/>
      <c r="U41" s="130"/>
      <c r="V41" s="558"/>
      <c r="W41" s="106"/>
    </row>
    <row r="42" spans="1:23" ht="12" customHeight="1" x14ac:dyDescent="0.2">
      <c r="A42" s="99"/>
      <c r="B42" s="100"/>
      <c r="C42" s="100"/>
      <c r="D42" s="568" t="s">
        <v>31</v>
      </c>
      <c r="E42" s="136" t="s">
        <v>80</v>
      </c>
      <c r="F42" s="569" t="s">
        <v>79</v>
      </c>
      <c r="G42" s="137">
        <v>0</v>
      </c>
      <c r="H42" s="137">
        <v>0</v>
      </c>
      <c r="I42" s="137">
        <v>0</v>
      </c>
      <c r="J42" s="137">
        <v>0</v>
      </c>
      <c r="K42" s="130"/>
      <c r="L42" s="130"/>
      <c r="M42" s="130"/>
      <c r="N42" s="130"/>
      <c r="O42" s="130"/>
      <c r="P42" s="130"/>
      <c r="Q42" s="130"/>
      <c r="R42" s="130"/>
      <c r="S42" s="130"/>
      <c r="T42" s="130"/>
      <c r="U42" s="130"/>
      <c r="V42" s="558"/>
      <c r="W42" s="106"/>
    </row>
    <row r="43" spans="1:23" ht="12" customHeight="1" x14ac:dyDescent="0.2">
      <c r="A43" s="99"/>
      <c r="B43" s="100"/>
      <c r="C43" s="100"/>
      <c r="D43" s="560"/>
      <c r="E43" s="105"/>
      <c r="F43" s="103"/>
      <c r="G43" s="104"/>
      <c r="H43" s="104"/>
      <c r="I43" s="104"/>
      <c r="J43" s="104"/>
      <c r="K43" s="117"/>
      <c r="L43" s="117"/>
      <c r="M43" s="117"/>
      <c r="N43" s="117"/>
      <c r="O43" s="117"/>
      <c r="P43" s="117"/>
      <c r="Q43" s="117"/>
      <c r="R43" s="117"/>
      <c r="S43" s="117"/>
      <c r="T43" s="117"/>
      <c r="U43" s="117"/>
      <c r="V43" s="570"/>
      <c r="W43" s="106"/>
    </row>
    <row r="44" spans="1:23" ht="12" customHeight="1" x14ac:dyDescent="0.2">
      <c r="A44" s="99"/>
      <c r="B44" s="100"/>
      <c r="C44" s="100"/>
      <c r="D44" s="563" t="s">
        <v>309</v>
      </c>
      <c r="E44" s="141"/>
      <c r="F44" s="142"/>
      <c r="G44" s="143"/>
      <c r="H44" s="143"/>
      <c r="I44" s="143"/>
      <c r="J44" s="143"/>
      <c r="K44" s="141"/>
      <c r="L44" s="141"/>
      <c r="M44" s="141"/>
      <c r="N44" s="141"/>
      <c r="O44" s="141"/>
      <c r="P44" s="141"/>
      <c r="Q44" s="141"/>
      <c r="R44" s="141"/>
      <c r="S44" s="141"/>
      <c r="T44" s="141"/>
      <c r="U44" s="141"/>
      <c r="V44" s="571"/>
      <c r="W44" s="144"/>
    </row>
    <row r="45" spans="1:23" ht="12" customHeight="1" x14ac:dyDescent="0.2">
      <c r="A45" s="572"/>
      <c r="B45" s="573"/>
      <c r="C45" s="574"/>
      <c r="D45" s="575" t="s">
        <v>395</v>
      </c>
      <c r="E45" s="576" t="s">
        <v>424</v>
      </c>
      <c r="F45" s="577"/>
      <c r="G45" s="578"/>
      <c r="H45" s="578"/>
      <c r="I45" s="578"/>
      <c r="J45" s="578"/>
      <c r="K45" s="579">
        <v>1.4375000000000001E-2</v>
      </c>
      <c r="L45" s="579">
        <v>2.8750000000000001E-2</v>
      </c>
      <c r="M45" s="579">
        <v>5.7500000000000002E-2</v>
      </c>
      <c r="N45" s="579">
        <v>0.28125</v>
      </c>
      <c r="O45" s="579">
        <v>0.5625</v>
      </c>
      <c r="P45" s="579">
        <v>1.125</v>
      </c>
      <c r="Q45" s="579">
        <v>0.26879999999999998</v>
      </c>
      <c r="R45" s="579">
        <v>0.55103999999999997</v>
      </c>
      <c r="S45" s="579">
        <v>0.83327999999999991</v>
      </c>
      <c r="T45" s="579">
        <v>0.80855999999999995</v>
      </c>
      <c r="U45" s="579">
        <v>1.657548</v>
      </c>
      <c r="V45" s="580">
        <v>2.5065359999999997</v>
      </c>
      <c r="W45" s="581"/>
    </row>
    <row r="46" spans="1:23" ht="12" customHeight="1" x14ac:dyDescent="0.2">
      <c r="A46" s="572"/>
      <c r="B46" s="573"/>
      <c r="C46" s="574"/>
      <c r="D46" s="575" t="s">
        <v>425</v>
      </c>
      <c r="E46" s="576" t="s">
        <v>426</v>
      </c>
      <c r="F46" s="577"/>
      <c r="G46" s="578"/>
      <c r="H46" s="578"/>
      <c r="I46" s="578"/>
      <c r="J46" s="578"/>
      <c r="K46" s="579">
        <v>2.6875E-2</v>
      </c>
      <c r="L46" s="579">
        <v>5.3749999999999999E-2</v>
      </c>
      <c r="M46" s="579">
        <v>0.1075</v>
      </c>
      <c r="N46" s="579">
        <v>6.2500000000000003E-3</v>
      </c>
      <c r="O46" s="579">
        <v>1.2500000000000001E-2</v>
      </c>
      <c r="P46" s="579">
        <v>2.5000000000000001E-2</v>
      </c>
      <c r="Q46" s="579">
        <v>0</v>
      </c>
      <c r="R46" s="579">
        <v>0</v>
      </c>
      <c r="S46" s="579">
        <v>0</v>
      </c>
      <c r="T46" s="579">
        <v>0</v>
      </c>
      <c r="U46" s="579">
        <v>0</v>
      </c>
      <c r="V46" s="580">
        <v>0</v>
      </c>
      <c r="W46" s="581"/>
    </row>
    <row r="47" spans="1:23" ht="12" customHeight="1" x14ac:dyDescent="0.2">
      <c r="A47" s="572"/>
      <c r="B47" s="573"/>
      <c r="C47" s="574"/>
      <c r="D47" s="575" t="s">
        <v>401</v>
      </c>
      <c r="E47" s="576" t="s">
        <v>424</v>
      </c>
      <c r="F47" s="577"/>
      <c r="G47" s="578"/>
      <c r="H47" s="578"/>
      <c r="I47" s="578"/>
      <c r="J47" s="578"/>
      <c r="K47" s="579">
        <v>6.6875000000000004E-2</v>
      </c>
      <c r="L47" s="579">
        <v>0.13375000000000001</v>
      </c>
      <c r="M47" s="579">
        <v>0.26750000000000002</v>
      </c>
      <c r="N47" s="579">
        <v>0.1875</v>
      </c>
      <c r="O47" s="579">
        <v>0.375</v>
      </c>
      <c r="P47" s="579">
        <v>0.75</v>
      </c>
      <c r="Q47" s="579">
        <v>1.1718721461187215E-2</v>
      </c>
      <c r="R47" s="579">
        <v>2.4023378995433792E-2</v>
      </c>
      <c r="S47" s="579">
        <v>3.6328036529680377E-2</v>
      </c>
      <c r="T47" s="579">
        <v>3.5162739726027396E-2</v>
      </c>
      <c r="U47" s="579">
        <v>7.2083616438356174E-2</v>
      </c>
      <c r="V47" s="580">
        <v>0.10900449315068494</v>
      </c>
      <c r="W47" s="581"/>
    </row>
    <row r="48" spans="1:23" ht="12" customHeight="1" x14ac:dyDescent="0.2">
      <c r="A48" s="99"/>
      <c r="B48" s="100"/>
      <c r="C48" s="100"/>
      <c r="D48" s="560"/>
      <c r="E48" s="105"/>
      <c r="F48" s="103"/>
      <c r="G48" s="104"/>
      <c r="H48" s="104"/>
      <c r="I48" s="104"/>
      <c r="J48" s="104"/>
      <c r="K48" s="117"/>
      <c r="L48" s="117"/>
      <c r="M48" s="117"/>
      <c r="N48" s="117"/>
      <c r="O48" s="117"/>
      <c r="P48" s="117"/>
      <c r="Q48" s="117"/>
      <c r="R48" s="117"/>
      <c r="S48" s="117"/>
      <c r="T48" s="117"/>
      <c r="U48" s="117"/>
      <c r="V48" s="570"/>
      <c r="W48" s="106"/>
    </row>
    <row r="49" spans="1:23" ht="12" customHeight="1" x14ac:dyDescent="0.2">
      <c r="A49" s="99"/>
      <c r="B49" s="100"/>
      <c r="C49" s="100"/>
      <c r="D49" s="563" t="s">
        <v>403</v>
      </c>
      <c r="E49" s="105"/>
      <c r="F49" s="103"/>
      <c r="G49" s="104"/>
      <c r="H49" s="104"/>
      <c r="I49" s="104"/>
      <c r="J49" s="104"/>
      <c r="K49" s="117"/>
      <c r="L49" s="117"/>
      <c r="M49" s="117"/>
      <c r="N49" s="117"/>
      <c r="O49" s="117"/>
      <c r="P49" s="117"/>
      <c r="Q49" s="117"/>
      <c r="R49" s="117"/>
      <c r="S49" s="117"/>
      <c r="T49" s="117"/>
      <c r="U49" s="117"/>
      <c r="V49" s="570"/>
      <c r="W49" s="106"/>
    </row>
    <row r="50" spans="1:23" ht="12" customHeight="1" x14ac:dyDescent="0.2">
      <c r="A50" s="572"/>
      <c r="B50" s="573"/>
      <c r="C50" s="574"/>
      <c r="D50" s="582" t="s">
        <v>400</v>
      </c>
      <c r="E50" s="583" t="s">
        <v>100</v>
      </c>
      <c r="F50" s="577"/>
      <c r="G50" s="578"/>
      <c r="H50" s="578"/>
      <c r="I50" s="578"/>
      <c r="J50" s="578"/>
      <c r="K50" s="584">
        <v>1</v>
      </c>
      <c r="L50" s="584">
        <v>1</v>
      </c>
      <c r="M50" s="584">
        <v>1</v>
      </c>
      <c r="N50" s="584">
        <v>1</v>
      </c>
      <c r="O50" s="584">
        <v>1</v>
      </c>
      <c r="P50" s="584">
        <v>1</v>
      </c>
      <c r="Q50" s="584">
        <v>30</v>
      </c>
      <c r="R50" s="584">
        <v>30</v>
      </c>
      <c r="S50" s="584">
        <v>30</v>
      </c>
      <c r="T50" s="584">
        <v>30</v>
      </c>
      <c r="U50" s="584">
        <v>30</v>
      </c>
      <c r="V50" s="585">
        <v>30</v>
      </c>
      <c r="W50" s="581"/>
    </row>
    <row r="51" spans="1:23" ht="12" customHeight="1" x14ac:dyDescent="0.2">
      <c r="A51" s="572"/>
      <c r="B51" s="573"/>
      <c r="C51" s="574"/>
      <c r="D51" s="582" t="s">
        <v>404</v>
      </c>
      <c r="E51" s="583" t="s">
        <v>402</v>
      </c>
      <c r="F51" s="577"/>
      <c r="G51" s="578"/>
      <c r="H51" s="578"/>
      <c r="I51" s="578"/>
      <c r="J51" s="578"/>
      <c r="K51" s="586">
        <v>0.83289953149401352</v>
      </c>
      <c r="L51" s="586">
        <v>1</v>
      </c>
      <c r="M51" s="586">
        <v>1</v>
      </c>
      <c r="N51" s="586">
        <v>0.83289953149401352</v>
      </c>
      <c r="O51" s="586">
        <v>1</v>
      </c>
      <c r="P51" s="586">
        <v>1</v>
      </c>
      <c r="Q51" s="586">
        <v>1</v>
      </c>
      <c r="R51" s="586">
        <v>1</v>
      </c>
      <c r="S51" s="586">
        <v>1</v>
      </c>
      <c r="T51" s="586">
        <v>1</v>
      </c>
      <c r="U51" s="586">
        <v>1</v>
      </c>
      <c r="V51" s="587">
        <v>1</v>
      </c>
      <c r="W51" s="581"/>
    </row>
    <row r="52" spans="1:23" ht="12" customHeight="1" thickBot="1" x14ac:dyDescent="0.25">
      <c r="A52" s="572"/>
      <c r="B52" s="573"/>
      <c r="C52" s="574"/>
      <c r="D52" s="588" t="s">
        <v>405</v>
      </c>
      <c r="E52" s="589" t="s">
        <v>424</v>
      </c>
      <c r="F52" s="590"/>
      <c r="G52" s="591"/>
      <c r="H52" s="591"/>
      <c r="I52" s="591"/>
      <c r="J52" s="591"/>
      <c r="K52" s="592">
        <v>5.5700156168662154E-2</v>
      </c>
      <c r="L52" s="592">
        <v>0.13375000000000001</v>
      </c>
      <c r="M52" s="592">
        <v>0.26750000000000002</v>
      </c>
      <c r="N52" s="592">
        <v>0.15616866215512754</v>
      </c>
      <c r="O52" s="592">
        <v>0.375</v>
      </c>
      <c r="P52" s="592">
        <v>0.75</v>
      </c>
      <c r="Q52" s="592">
        <v>1.1718721461187215E-2</v>
      </c>
      <c r="R52" s="592">
        <v>2.4023378995433792E-2</v>
      </c>
      <c r="S52" s="592">
        <v>3.6328036529680377E-2</v>
      </c>
      <c r="T52" s="592">
        <v>3.5162739726027396E-2</v>
      </c>
      <c r="U52" s="592">
        <v>7.2083616438356174E-2</v>
      </c>
      <c r="V52" s="593">
        <v>0.10900449315068494</v>
      </c>
      <c r="W52" s="581"/>
    </row>
    <row r="53" spans="1:23" ht="12" customHeight="1" x14ac:dyDescent="0.2">
      <c r="A53" s="99"/>
      <c r="B53" s="100"/>
      <c r="C53" s="100"/>
      <c r="D53" s="101"/>
      <c r="E53" s="105"/>
      <c r="F53" s="103"/>
      <c r="G53" s="104"/>
      <c r="H53" s="104"/>
      <c r="I53" s="104"/>
      <c r="J53" s="104"/>
      <c r="K53" s="117"/>
      <c r="L53" s="117"/>
      <c r="M53" s="117"/>
      <c r="N53" s="117"/>
      <c r="O53" s="117"/>
      <c r="P53" s="117"/>
      <c r="Q53" s="117"/>
      <c r="R53" s="117"/>
      <c r="S53" s="117"/>
      <c r="T53" s="117"/>
      <c r="U53" s="117"/>
      <c r="V53" s="117"/>
      <c r="W53" s="106"/>
    </row>
    <row r="54" spans="1:23" ht="12" customHeight="1" thickBot="1" x14ac:dyDescent="0.25">
      <c r="A54" s="99"/>
      <c r="B54" s="100"/>
      <c r="C54" s="125" t="s">
        <v>234</v>
      </c>
      <c r="D54" s="101"/>
      <c r="E54" s="105"/>
      <c r="F54" s="103"/>
      <c r="G54" s="104"/>
      <c r="H54" s="104"/>
      <c r="I54" s="104"/>
      <c r="J54" s="104"/>
      <c r="K54" s="117"/>
      <c r="L54" s="117"/>
      <c r="M54" s="117"/>
      <c r="N54" s="117"/>
      <c r="O54" s="117"/>
      <c r="P54" s="117"/>
      <c r="Q54" s="117"/>
      <c r="R54" s="117"/>
      <c r="S54" s="117"/>
      <c r="T54" s="117"/>
      <c r="U54" s="117"/>
      <c r="V54" s="117"/>
      <c r="W54" s="106"/>
    </row>
    <row r="55" spans="1:23" ht="12" customHeight="1" x14ac:dyDescent="0.2">
      <c r="A55" s="572"/>
      <c r="B55" s="573"/>
      <c r="C55" s="574"/>
      <c r="D55" s="594" t="s">
        <v>10</v>
      </c>
      <c r="E55" s="595" t="s">
        <v>13</v>
      </c>
      <c r="F55" s="596" t="s">
        <v>25</v>
      </c>
      <c r="G55" s="597"/>
      <c r="H55" s="597"/>
      <c r="I55" s="597"/>
      <c r="J55" s="597"/>
      <c r="K55" s="598">
        <v>1</v>
      </c>
      <c r="L55" s="599">
        <v>0.5</v>
      </c>
      <c r="M55" s="598">
        <v>0.3</v>
      </c>
      <c r="N55" s="598">
        <v>1</v>
      </c>
      <c r="O55" s="599">
        <v>0.5</v>
      </c>
      <c r="P55" s="598">
        <v>0.3</v>
      </c>
      <c r="Q55" s="598">
        <v>0.5</v>
      </c>
      <c r="R55" s="598">
        <v>0.5</v>
      </c>
      <c r="S55" s="598">
        <v>0.5</v>
      </c>
      <c r="T55" s="598">
        <v>1.5</v>
      </c>
      <c r="U55" s="598">
        <v>1.5</v>
      </c>
      <c r="V55" s="600">
        <v>1.5</v>
      </c>
      <c r="W55" s="581"/>
    </row>
    <row r="56" spans="1:23" ht="12" customHeight="1" x14ac:dyDescent="0.2">
      <c r="A56" s="572"/>
      <c r="B56" s="573"/>
      <c r="C56" s="601"/>
      <c r="D56" s="575" t="s">
        <v>11</v>
      </c>
      <c r="E56" s="576" t="s">
        <v>13</v>
      </c>
      <c r="F56" s="134" t="s">
        <v>26</v>
      </c>
      <c r="G56" s="578"/>
      <c r="H56" s="578"/>
      <c r="I56" s="578"/>
      <c r="J56" s="578"/>
      <c r="K56" s="602">
        <v>8</v>
      </c>
      <c r="L56" s="603">
        <v>4</v>
      </c>
      <c r="M56" s="602">
        <v>2</v>
      </c>
      <c r="N56" s="602">
        <v>8</v>
      </c>
      <c r="O56" s="602">
        <v>4</v>
      </c>
      <c r="P56" s="602">
        <v>2</v>
      </c>
      <c r="Q56" s="602">
        <v>30</v>
      </c>
      <c r="R56" s="602">
        <v>30</v>
      </c>
      <c r="S56" s="602">
        <v>30</v>
      </c>
      <c r="T56" s="602">
        <v>10</v>
      </c>
      <c r="U56" s="602">
        <v>10</v>
      </c>
      <c r="V56" s="604">
        <v>10</v>
      </c>
      <c r="W56" s="581"/>
    </row>
    <row r="57" spans="1:23" ht="12" customHeight="1" x14ac:dyDescent="0.2">
      <c r="A57" s="572"/>
      <c r="B57" s="573"/>
      <c r="C57" s="601"/>
      <c r="D57" s="575" t="s">
        <v>12</v>
      </c>
      <c r="E57" s="576" t="s">
        <v>13</v>
      </c>
      <c r="F57" s="134" t="s">
        <v>32</v>
      </c>
      <c r="G57" s="578"/>
      <c r="H57" s="578"/>
      <c r="I57" s="578"/>
      <c r="J57" s="578"/>
      <c r="K57" s="602">
        <v>100</v>
      </c>
      <c r="L57" s="603">
        <v>100</v>
      </c>
      <c r="M57" s="602">
        <v>100</v>
      </c>
      <c r="N57" s="602">
        <v>100</v>
      </c>
      <c r="O57" s="602">
        <v>100</v>
      </c>
      <c r="P57" s="602">
        <v>100</v>
      </c>
      <c r="Q57" s="602">
        <v>100</v>
      </c>
      <c r="R57" s="602">
        <v>100</v>
      </c>
      <c r="S57" s="602">
        <v>100</v>
      </c>
      <c r="T57" s="602">
        <v>2000</v>
      </c>
      <c r="U57" s="602">
        <v>2000</v>
      </c>
      <c r="V57" s="604">
        <v>2000</v>
      </c>
      <c r="W57" s="581"/>
    </row>
    <row r="58" spans="1:23" ht="12" customHeight="1" x14ac:dyDescent="0.2">
      <c r="A58" s="572"/>
      <c r="B58" s="573"/>
      <c r="C58" s="601"/>
      <c r="D58" s="575" t="s">
        <v>8</v>
      </c>
      <c r="E58" s="576" t="s">
        <v>9</v>
      </c>
      <c r="F58" s="134" t="s">
        <v>284</v>
      </c>
      <c r="G58" s="578"/>
      <c r="H58" s="578"/>
      <c r="I58" s="578"/>
      <c r="J58" s="578"/>
      <c r="K58" s="602">
        <v>1</v>
      </c>
      <c r="L58" s="603">
        <v>1</v>
      </c>
      <c r="M58" s="602">
        <v>1</v>
      </c>
      <c r="N58" s="602">
        <v>1</v>
      </c>
      <c r="O58" s="602">
        <v>1</v>
      </c>
      <c r="P58" s="602">
        <v>1</v>
      </c>
      <c r="Q58" s="602">
        <v>1</v>
      </c>
      <c r="R58" s="602">
        <v>1</v>
      </c>
      <c r="S58" s="602">
        <v>1</v>
      </c>
      <c r="T58" s="602">
        <v>1</v>
      </c>
      <c r="U58" s="602">
        <v>1</v>
      </c>
      <c r="V58" s="604">
        <v>1</v>
      </c>
      <c r="W58" s="581"/>
    </row>
    <row r="59" spans="1:23" ht="12" customHeight="1" x14ac:dyDescent="0.2">
      <c r="A59" s="572"/>
      <c r="B59" s="573"/>
      <c r="C59" s="605"/>
      <c r="D59" s="575" t="s">
        <v>21</v>
      </c>
      <c r="E59" s="576" t="s">
        <v>427</v>
      </c>
      <c r="F59" s="134" t="s">
        <v>414</v>
      </c>
      <c r="G59" s="578"/>
      <c r="H59" s="578"/>
      <c r="I59" s="578"/>
      <c r="J59" s="578"/>
      <c r="K59" s="602"/>
      <c r="L59" s="602"/>
      <c r="M59" s="602"/>
      <c r="N59" s="602"/>
      <c r="O59" s="602"/>
      <c r="P59" s="602"/>
      <c r="Q59" s="602"/>
      <c r="R59" s="602"/>
      <c r="S59" s="602"/>
      <c r="T59" s="602"/>
      <c r="U59" s="602"/>
      <c r="V59" s="604"/>
      <c r="W59" s="581"/>
    </row>
    <row r="60" spans="1:23" ht="12" customHeight="1" x14ac:dyDescent="0.2">
      <c r="A60" s="572"/>
      <c r="B60" s="573"/>
      <c r="C60" s="605"/>
      <c r="D60" s="606"/>
      <c r="E60" s="607"/>
      <c r="F60" s="577"/>
      <c r="G60" s="578"/>
      <c r="H60" s="578"/>
      <c r="I60" s="578"/>
      <c r="J60" s="578"/>
      <c r="K60" s="577"/>
      <c r="L60" s="577"/>
      <c r="M60" s="577"/>
      <c r="N60" s="577"/>
      <c r="O60" s="577"/>
      <c r="P60" s="577"/>
      <c r="Q60" s="577"/>
      <c r="R60" s="577"/>
      <c r="S60" s="577"/>
      <c r="T60" s="577"/>
      <c r="U60" s="577"/>
      <c r="V60" s="608"/>
      <c r="W60" s="581"/>
    </row>
    <row r="61" spans="1:23" ht="12" customHeight="1" x14ac:dyDescent="0.2">
      <c r="A61" s="572"/>
      <c r="B61" s="573"/>
      <c r="C61" s="574"/>
      <c r="D61" s="609" t="s">
        <v>281</v>
      </c>
      <c r="E61" s="607"/>
      <c r="F61" s="577"/>
      <c r="G61" s="578"/>
      <c r="H61" s="578"/>
      <c r="I61" s="578"/>
      <c r="J61" s="578"/>
      <c r="K61" s="607"/>
      <c r="L61" s="607"/>
      <c r="M61" s="607"/>
      <c r="N61" s="607"/>
      <c r="O61" s="607"/>
      <c r="P61" s="607"/>
      <c r="Q61" s="607"/>
      <c r="R61" s="607"/>
      <c r="S61" s="607"/>
      <c r="T61" s="607"/>
      <c r="U61" s="607"/>
      <c r="V61" s="610"/>
      <c r="W61" s="581"/>
    </row>
    <row r="62" spans="1:23" ht="12" customHeight="1" x14ac:dyDescent="0.2">
      <c r="A62" s="572"/>
      <c r="B62" s="573"/>
      <c r="C62" s="574"/>
      <c r="D62" s="575" t="s">
        <v>21</v>
      </c>
      <c r="E62" s="576" t="s">
        <v>427</v>
      </c>
      <c r="F62" s="577"/>
      <c r="G62" s="578"/>
      <c r="H62" s="611"/>
      <c r="I62" s="611"/>
      <c r="J62" s="611"/>
      <c r="K62" s="612">
        <v>800</v>
      </c>
      <c r="L62" s="612">
        <v>400</v>
      </c>
      <c r="M62" s="612">
        <v>200</v>
      </c>
      <c r="N62" s="612">
        <v>800</v>
      </c>
      <c r="O62" s="612">
        <v>400</v>
      </c>
      <c r="P62" s="612">
        <v>200</v>
      </c>
      <c r="Q62" s="612">
        <v>3000</v>
      </c>
      <c r="R62" s="612">
        <v>3000</v>
      </c>
      <c r="S62" s="612">
        <v>3000</v>
      </c>
      <c r="T62" s="612">
        <v>20000</v>
      </c>
      <c r="U62" s="612">
        <v>20000</v>
      </c>
      <c r="V62" s="613">
        <v>20000</v>
      </c>
      <c r="W62" s="581"/>
    </row>
    <row r="63" spans="1:23" ht="12" customHeight="1" thickBot="1" x14ac:dyDescent="0.25">
      <c r="A63" s="572"/>
      <c r="B63" s="573"/>
      <c r="C63" s="574"/>
      <c r="D63" s="588" t="s">
        <v>22</v>
      </c>
      <c r="E63" s="589" t="s">
        <v>109</v>
      </c>
      <c r="F63" s="590"/>
      <c r="G63" s="591"/>
      <c r="H63" s="614"/>
      <c r="I63" s="614"/>
      <c r="J63" s="614"/>
      <c r="K63" s="615">
        <v>800</v>
      </c>
      <c r="L63" s="615">
        <v>200</v>
      </c>
      <c r="M63" s="615">
        <v>60</v>
      </c>
      <c r="N63" s="615">
        <v>800</v>
      </c>
      <c r="O63" s="615">
        <v>200</v>
      </c>
      <c r="P63" s="615">
        <v>60</v>
      </c>
      <c r="Q63" s="615">
        <v>1500</v>
      </c>
      <c r="R63" s="615">
        <v>1500</v>
      </c>
      <c r="S63" s="615">
        <v>1500</v>
      </c>
      <c r="T63" s="615">
        <v>30000</v>
      </c>
      <c r="U63" s="615">
        <v>30000</v>
      </c>
      <c r="V63" s="616">
        <v>30000</v>
      </c>
      <c r="W63" s="581"/>
    </row>
    <row r="64" spans="1:23" ht="12" customHeight="1" x14ac:dyDescent="0.2">
      <c r="A64" s="99"/>
      <c r="B64" s="100"/>
      <c r="C64" s="125"/>
      <c r="D64" s="101"/>
      <c r="E64" s="105"/>
      <c r="F64" s="103"/>
      <c r="G64" s="104"/>
      <c r="H64" s="104"/>
      <c r="I64" s="104"/>
      <c r="J64" s="104"/>
      <c r="K64" s="104"/>
      <c r="L64" s="104"/>
      <c r="M64" s="104"/>
      <c r="N64" s="104"/>
      <c r="O64" s="104"/>
      <c r="P64" s="104"/>
      <c r="Q64" s="104"/>
      <c r="R64" s="104"/>
      <c r="S64" s="104"/>
      <c r="T64" s="104"/>
      <c r="U64" s="104"/>
      <c r="V64" s="104"/>
      <c r="W64" s="106"/>
    </row>
    <row r="65" spans="1:23" ht="12" customHeight="1" thickBot="1" x14ac:dyDescent="0.25">
      <c r="A65" s="99"/>
      <c r="B65" s="100"/>
      <c r="C65" s="125" t="s">
        <v>235</v>
      </c>
      <c r="D65" s="101"/>
      <c r="E65" s="105"/>
      <c r="F65" s="617"/>
      <c r="G65" s="104"/>
      <c r="H65" s="104"/>
      <c r="I65" s="101"/>
      <c r="J65" s="101"/>
      <c r="K65" s="101"/>
      <c r="L65" s="101"/>
      <c r="M65" s="101"/>
      <c r="N65" s="101"/>
      <c r="O65" s="101"/>
      <c r="P65" s="101"/>
      <c r="Q65" s="101"/>
      <c r="R65" s="101"/>
      <c r="S65" s="101"/>
      <c r="T65" s="101"/>
      <c r="U65" s="101"/>
      <c r="V65" s="101"/>
      <c r="W65" s="106"/>
    </row>
    <row r="66" spans="1:23" ht="12" customHeight="1" x14ac:dyDescent="0.2">
      <c r="A66" s="572"/>
      <c r="B66" s="573"/>
      <c r="C66" s="605"/>
      <c r="D66" s="594" t="s">
        <v>266</v>
      </c>
      <c r="E66" s="595" t="s">
        <v>105</v>
      </c>
      <c r="F66" s="596" t="s">
        <v>268</v>
      </c>
      <c r="G66" s="618"/>
      <c r="H66" s="597"/>
      <c r="I66" s="597"/>
      <c r="J66" s="597"/>
      <c r="K66" s="598"/>
      <c r="L66" s="599"/>
      <c r="M66" s="598"/>
      <c r="N66" s="598"/>
      <c r="O66" s="598"/>
      <c r="P66" s="598"/>
      <c r="Q66" s="598"/>
      <c r="R66" s="598"/>
      <c r="S66" s="598"/>
      <c r="T66" s="598"/>
      <c r="U66" s="598"/>
      <c r="V66" s="600"/>
      <c r="W66" s="581"/>
    </row>
    <row r="67" spans="1:23" ht="12" customHeight="1" x14ac:dyDescent="0.2">
      <c r="A67" s="572"/>
      <c r="B67" s="573"/>
      <c r="C67" s="601"/>
      <c r="D67" s="575" t="s">
        <v>221</v>
      </c>
      <c r="E67" s="576" t="s">
        <v>14</v>
      </c>
      <c r="F67" s="134" t="s">
        <v>308</v>
      </c>
      <c r="G67" s="619"/>
      <c r="H67" s="578"/>
      <c r="I67" s="578"/>
      <c r="J67" s="578"/>
      <c r="K67" s="602">
        <v>5</v>
      </c>
      <c r="L67" s="603">
        <v>4</v>
      </c>
      <c r="M67" s="602">
        <v>3</v>
      </c>
      <c r="N67" s="602">
        <v>5</v>
      </c>
      <c r="O67" s="602">
        <v>4</v>
      </c>
      <c r="P67" s="602">
        <v>3</v>
      </c>
      <c r="Q67" s="602">
        <v>2</v>
      </c>
      <c r="R67" s="602">
        <v>2</v>
      </c>
      <c r="S67" s="602">
        <v>2</v>
      </c>
      <c r="T67" s="602">
        <v>5</v>
      </c>
      <c r="U67" s="602">
        <v>5</v>
      </c>
      <c r="V67" s="604">
        <v>5</v>
      </c>
      <c r="W67" s="581"/>
    </row>
    <row r="68" spans="1:23" ht="12" customHeight="1" x14ac:dyDescent="0.2">
      <c r="A68" s="572"/>
      <c r="B68" s="573"/>
      <c r="C68" s="605"/>
      <c r="D68" s="606"/>
      <c r="E68" s="607"/>
      <c r="F68" s="577"/>
      <c r="G68" s="578"/>
      <c r="H68" s="578"/>
      <c r="I68" s="620"/>
      <c r="J68" s="620" t="s">
        <v>428</v>
      </c>
      <c r="K68" s="621" t="s">
        <v>429</v>
      </c>
      <c r="L68" s="621" t="s">
        <v>430</v>
      </c>
      <c r="M68" s="621" t="s">
        <v>431</v>
      </c>
      <c r="N68" s="621" t="s">
        <v>429</v>
      </c>
      <c r="O68" s="621" t="s">
        <v>430</v>
      </c>
      <c r="P68" s="621" t="s">
        <v>431</v>
      </c>
      <c r="Q68" s="621" t="s">
        <v>432</v>
      </c>
      <c r="R68" s="621" t="s">
        <v>432</v>
      </c>
      <c r="S68" s="621" t="s">
        <v>432</v>
      </c>
      <c r="T68" s="621" t="s">
        <v>429</v>
      </c>
      <c r="U68" s="621" t="s">
        <v>429</v>
      </c>
      <c r="V68" s="622" t="s">
        <v>429</v>
      </c>
      <c r="W68" s="581"/>
    </row>
    <row r="69" spans="1:23" ht="12" customHeight="1" x14ac:dyDescent="0.2">
      <c r="A69" s="572"/>
      <c r="B69" s="573"/>
      <c r="C69" s="574"/>
      <c r="D69" s="609" t="s">
        <v>282</v>
      </c>
      <c r="E69" s="607"/>
      <c r="F69" s="577"/>
      <c r="G69" s="578"/>
      <c r="H69" s="578"/>
      <c r="I69" s="578"/>
      <c r="J69" s="578"/>
      <c r="K69" s="607"/>
      <c r="L69" s="607"/>
      <c r="M69" s="607"/>
      <c r="N69" s="607"/>
      <c r="O69" s="607"/>
      <c r="P69" s="607"/>
      <c r="Q69" s="607"/>
      <c r="R69" s="607"/>
      <c r="S69" s="607"/>
      <c r="T69" s="607"/>
      <c r="U69" s="607"/>
      <c r="V69" s="610"/>
      <c r="W69" s="581"/>
    </row>
    <row r="70" spans="1:23" ht="12" customHeight="1" x14ac:dyDescent="0.2">
      <c r="A70" s="572"/>
      <c r="B70" s="573"/>
      <c r="C70" s="574"/>
      <c r="D70" s="575" t="s">
        <v>33</v>
      </c>
      <c r="E70" s="576" t="s">
        <v>105</v>
      </c>
      <c r="F70" s="577"/>
      <c r="G70" s="578"/>
      <c r="H70" s="578"/>
      <c r="I70" s="578"/>
      <c r="J70" s="578"/>
      <c r="K70" s="612">
        <v>120</v>
      </c>
      <c r="L70" s="612">
        <v>30</v>
      </c>
      <c r="M70" s="612">
        <v>4</v>
      </c>
      <c r="N70" s="612">
        <v>120</v>
      </c>
      <c r="O70" s="612">
        <v>30</v>
      </c>
      <c r="P70" s="612">
        <v>4</v>
      </c>
      <c r="Q70" s="612">
        <v>18</v>
      </c>
      <c r="R70" s="612">
        <v>18</v>
      </c>
      <c r="S70" s="612">
        <v>18</v>
      </c>
      <c r="T70" s="612">
        <v>3000</v>
      </c>
      <c r="U70" s="612">
        <v>3000</v>
      </c>
      <c r="V70" s="613">
        <v>3000</v>
      </c>
      <c r="W70" s="581"/>
    </row>
    <row r="71" spans="1:23" ht="12" customHeight="1" x14ac:dyDescent="0.2">
      <c r="A71" s="572"/>
      <c r="B71" s="573"/>
      <c r="C71" s="574"/>
      <c r="D71" s="575" t="s">
        <v>366</v>
      </c>
      <c r="E71" s="576" t="s">
        <v>105</v>
      </c>
      <c r="F71" s="577"/>
      <c r="G71" s="578"/>
      <c r="H71" s="578"/>
      <c r="I71" s="578"/>
      <c r="J71" s="578"/>
      <c r="K71" s="612">
        <v>0</v>
      </c>
      <c r="L71" s="612">
        <v>0</v>
      </c>
      <c r="M71" s="612">
        <v>0</v>
      </c>
      <c r="N71" s="612">
        <v>0</v>
      </c>
      <c r="O71" s="612">
        <v>0</v>
      </c>
      <c r="P71" s="612">
        <v>0</v>
      </c>
      <c r="Q71" s="612">
        <v>33.6</v>
      </c>
      <c r="R71" s="612">
        <v>33.6</v>
      </c>
      <c r="S71" s="612">
        <v>33.6</v>
      </c>
      <c r="T71" s="612">
        <v>673.8</v>
      </c>
      <c r="U71" s="612">
        <v>673.8</v>
      </c>
      <c r="V71" s="613">
        <v>673.8</v>
      </c>
      <c r="W71" s="581"/>
    </row>
    <row r="72" spans="1:23" ht="12" customHeight="1" x14ac:dyDescent="0.2">
      <c r="A72" s="572"/>
      <c r="B72" s="573"/>
      <c r="C72" s="574"/>
      <c r="D72" s="582" t="s">
        <v>367</v>
      </c>
      <c r="E72" s="583" t="s">
        <v>105</v>
      </c>
      <c r="F72" s="577"/>
      <c r="G72" s="578"/>
      <c r="H72" s="578"/>
      <c r="I72" s="578"/>
      <c r="J72" s="578"/>
      <c r="K72" s="612">
        <v>0.5</v>
      </c>
      <c r="L72" s="612">
        <v>0.5</v>
      </c>
      <c r="M72" s="612">
        <v>0.5</v>
      </c>
      <c r="N72" s="612">
        <v>0.5</v>
      </c>
      <c r="O72" s="612">
        <v>0.5</v>
      </c>
      <c r="P72" s="612">
        <v>0.5</v>
      </c>
      <c r="Q72" s="612">
        <v>2.1972602739726028</v>
      </c>
      <c r="R72" s="612">
        <v>2.1972602739726028</v>
      </c>
      <c r="S72" s="612">
        <v>2.1972602739726028</v>
      </c>
      <c r="T72" s="612">
        <v>43.953424657534249</v>
      </c>
      <c r="U72" s="612">
        <v>43.953424657534249</v>
      </c>
      <c r="V72" s="613">
        <v>43.953424657534249</v>
      </c>
      <c r="W72" s="581"/>
    </row>
    <row r="73" spans="1:23" ht="12" customHeight="1" thickBot="1" x14ac:dyDescent="0.25">
      <c r="A73" s="572"/>
      <c r="B73" s="573"/>
      <c r="C73" s="574"/>
      <c r="D73" s="588" t="s">
        <v>208</v>
      </c>
      <c r="E73" s="589" t="s">
        <v>184</v>
      </c>
      <c r="F73" s="590"/>
      <c r="G73" s="591"/>
      <c r="H73" s="591"/>
      <c r="I73" s="591"/>
      <c r="J73" s="591"/>
      <c r="K73" s="623">
        <v>1.7433449074074074E-4</v>
      </c>
      <c r="L73" s="623">
        <v>1.7650462962962962E-4</v>
      </c>
      <c r="M73" s="623">
        <v>8.6805555555555559E-5</v>
      </c>
      <c r="N73" s="623">
        <v>1.7433449074074074E-4</v>
      </c>
      <c r="O73" s="623">
        <v>1.7650462962962962E-4</v>
      </c>
      <c r="P73" s="623">
        <v>8.6805555555555559E-5</v>
      </c>
      <c r="Q73" s="623">
        <v>1.5584305766954167E-5</v>
      </c>
      <c r="R73" s="623">
        <v>1.5584305766954167E-5</v>
      </c>
      <c r="S73" s="623">
        <v>1.5584305766954167E-5</v>
      </c>
      <c r="T73" s="623">
        <v>2.3487294943345173E-3</v>
      </c>
      <c r="U73" s="623">
        <v>2.3487294943345173E-3</v>
      </c>
      <c r="V73" s="624">
        <v>2.3487294943345173E-3</v>
      </c>
      <c r="W73" s="581"/>
    </row>
    <row r="74" spans="1:23" ht="12" customHeight="1" x14ac:dyDescent="0.2">
      <c r="A74" s="99"/>
      <c r="B74" s="100"/>
      <c r="C74" s="125"/>
      <c r="D74" s="101"/>
      <c r="E74" s="105"/>
      <c r="F74" s="103"/>
      <c r="G74" s="104"/>
      <c r="H74" s="104"/>
      <c r="I74" s="617"/>
      <c r="J74" s="617"/>
      <c r="K74" s="104"/>
      <c r="L74" s="104"/>
      <c r="M74" s="104"/>
      <c r="N74" s="104"/>
      <c r="O74" s="104"/>
      <c r="P74" s="104"/>
      <c r="Q74" s="104"/>
      <c r="R74" s="104"/>
      <c r="S74" s="104"/>
      <c r="T74" s="104"/>
      <c r="U74" s="104"/>
      <c r="V74" s="104"/>
      <c r="W74" s="106"/>
    </row>
    <row r="75" spans="1:23" ht="12" customHeight="1" thickBot="1" x14ac:dyDescent="0.25">
      <c r="A75" s="99"/>
      <c r="B75" s="100"/>
      <c r="C75" s="125" t="s">
        <v>236</v>
      </c>
      <c r="D75" s="101"/>
      <c r="E75" s="105"/>
      <c r="F75" s="103"/>
      <c r="G75" s="104"/>
      <c r="H75" s="104"/>
      <c r="I75" s="104"/>
      <c r="J75" s="104"/>
      <c r="K75" s="117"/>
      <c r="L75" s="117"/>
      <c r="M75" s="117"/>
      <c r="N75" s="117"/>
      <c r="O75" s="117"/>
      <c r="P75" s="117"/>
      <c r="Q75" s="117"/>
      <c r="R75" s="117"/>
      <c r="S75" s="117"/>
      <c r="T75" s="117"/>
      <c r="U75" s="117"/>
      <c r="V75" s="117"/>
      <c r="W75" s="106"/>
    </row>
    <row r="76" spans="1:23" ht="12" customHeight="1" x14ac:dyDescent="0.2">
      <c r="A76" s="625"/>
      <c r="B76" s="626"/>
      <c r="C76" s="626"/>
      <c r="D76" s="627" t="s">
        <v>307</v>
      </c>
      <c r="E76" s="628" t="s">
        <v>433</v>
      </c>
      <c r="F76" s="629" t="s">
        <v>434</v>
      </c>
      <c r="G76" s="630"/>
      <c r="H76" s="630"/>
      <c r="I76" s="630"/>
      <c r="J76" s="630"/>
      <c r="K76" s="631">
        <v>20</v>
      </c>
      <c r="L76" s="631">
        <v>20</v>
      </c>
      <c r="M76" s="631">
        <v>20</v>
      </c>
      <c r="N76" s="631">
        <v>20</v>
      </c>
      <c r="O76" s="631">
        <v>20</v>
      </c>
      <c r="P76" s="631">
        <v>20</v>
      </c>
      <c r="Q76" s="631">
        <v>20</v>
      </c>
      <c r="R76" s="631">
        <v>20</v>
      </c>
      <c r="S76" s="631">
        <v>20</v>
      </c>
      <c r="T76" s="631">
        <v>20</v>
      </c>
      <c r="U76" s="631">
        <v>20</v>
      </c>
      <c r="V76" s="632">
        <v>20</v>
      </c>
      <c r="W76" s="633"/>
    </row>
    <row r="77" spans="1:23" ht="12" customHeight="1" x14ac:dyDescent="0.2">
      <c r="A77" s="625"/>
      <c r="B77" s="626"/>
      <c r="C77" s="634"/>
      <c r="D77" s="635" t="s">
        <v>214</v>
      </c>
      <c r="E77" s="126" t="s">
        <v>212</v>
      </c>
      <c r="F77" s="139" t="s">
        <v>213</v>
      </c>
      <c r="G77" s="104"/>
      <c r="H77" s="104"/>
      <c r="I77" s="104"/>
      <c r="J77" s="104"/>
      <c r="K77" s="636">
        <v>0</v>
      </c>
      <c r="L77" s="636">
        <v>0</v>
      </c>
      <c r="M77" s="636">
        <v>0</v>
      </c>
      <c r="N77" s="636">
        <v>0</v>
      </c>
      <c r="O77" s="636">
        <v>0</v>
      </c>
      <c r="P77" s="636">
        <v>0</v>
      </c>
      <c r="Q77" s="636">
        <v>0</v>
      </c>
      <c r="R77" s="636">
        <v>0</v>
      </c>
      <c r="S77" s="636">
        <v>0</v>
      </c>
      <c r="T77" s="636">
        <v>0</v>
      </c>
      <c r="U77" s="636">
        <v>0</v>
      </c>
      <c r="V77" s="637">
        <v>0</v>
      </c>
      <c r="W77" s="633"/>
    </row>
    <row r="78" spans="1:23" ht="12" customHeight="1" x14ac:dyDescent="0.2">
      <c r="A78" s="625"/>
      <c r="B78" s="626"/>
      <c r="C78" s="634"/>
      <c r="D78" s="635" t="s">
        <v>306</v>
      </c>
      <c r="E78" s="126" t="s">
        <v>14</v>
      </c>
      <c r="F78" s="139" t="s">
        <v>305</v>
      </c>
      <c r="G78" s="104"/>
      <c r="H78" s="104"/>
      <c r="I78" s="104"/>
      <c r="J78" s="104"/>
      <c r="K78" s="136">
        <v>3</v>
      </c>
      <c r="L78" s="140">
        <v>2</v>
      </c>
      <c r="M78" s="136">
        <v>1</v>
      </c>
      <c r="N78" s="136">
        <v>3</v>
      </c>
      <c r="O78" s="140">
        <v>2</v>
      </c>
      <c r="P78" s="136">
        <v>1</v>
      </c>
      <c r="Q78" s="136">
        <v>1</v>
      </c>
      <c r="R78" s="136">
        <v>1</v>
      </c>
      <c r="S78" s="136">
        <v>1</v>
      </c>
      <c r="T78" s="136">
        <v>2</v>
      </c>
      <c r="U78" s="136">
        <v>2</v>
      </c>
      <c r="V78" s="638">
        <v>2</v>
      </c>
      <c r="W78" s="633"/>
    </row>
    <row r="79" spans="1:23" ht="12" customHeight="1" x14ac:dyDescent="0.2">
      <c r="A79" s="625"/>
      <c r="B79" s="626"/>
      <c r="C79" s="639"/>
      <c r="D79" s="640"/>
      <c r="E79" s="105"/>
      <c r="F79" s="103"/>
      <c r="G79" s="104"/>
      <c r="H79" s="104"/>
      <c r="I79" s="104"/>
      <c r="J79" s="104"/>
      <c r="K79" s="103"/>
      <c r="L79" s="103"/>
      <c r="M79" s="103"/>
      <c r="N79" s="103"/>
      <c r="O79" s="103"/>
      <c r="P79" s="103"/>
      <c r="Q79" s="103"/>
      <c r="R79" s="103"/>
      <c r="S79" s="103"/>
      <c r="T79" s="103"/>
      <c r="U79" s="103"/>
      <c r="V79" s="641"/>
      <c r="W79" s="633"/>
    </row>
    <row r="80" spans="1:23" ht="12" customHeight="1" x14ac:dyDescent="0.2">
      <c r="A80" s="625"/>
      <c r="B80" s="626"/>
      <c r="C80" s="634"/>
      <c r="D80" s="642" t="s">
        <v>283</v>
      </c>
      <c r="E80" s="105"/>
      <c r="F80" s="103"/>
      <c r="G80" s="104"/>
      <c r="H80" s="104"/>
      <c r="I80" s="104"/>
      <c r="J80" s="104"/>
      <c r="K80" s="105"/>
      <c r="L80" s="105"/>
      <c r="M80" s="105"/>
      <c r="N80" s="105"/>
      <c r="O80" s="105"/>
      <c r="P80" s="105"/>
      <c r="Q80" s="105"/>
      <c r="R80" s="105"/>
      <c r="S80" s="105"/>
      <c r="T80" s="105"/>
      <c r="U80" s="105"/>
      <c r="V80" s="643"/>
      <c r="W80" s="633"/>
    </row>
    <row r="81" spans="1:23" ht="12" customHeight="1" thickBot="1" x14ac:dyDescent="0.25">
      <c r="A81" s="625"/>
      <c r="B81" s="626"/>
      <c r="C81" s="634"/>
      <c r="D81" s="644" t="s">
        <v>271</v>
      </c>
      <c r="E81" s="645" t="s">
        <v>100</v>
      </c>
      <c r="F81" s="646" t="s">
        <v>308</v>
      </c>
      <c r="G81" s="151"/>
      <c r="H81" s="151"/>
      <c r="I81" s="151"/>
      <c r="J81" s="151"/>
      <c r="K81" s="647">
        <v>0.3</v>
      </c>
      <c r="L81" s="647">
        <v>0.2</v>
      </c>
      <c r="M81" s="647">
        <v>0.1</v>
      </c>
      <c r="N81" s="647">
        <v>0.3</v>
      </c>
      <c r="O81" s="647">
        <v>0.2</v>
      </c>
      <c r="P81" s="647">
        <v>0.1</v>
      </c>
      <c r="Q81" s="647">
        <v>0.1</v>
      </c>
      <c r="R81" s="647">
        <v>0.1</v>
      </c>
      <c r="S81" s="647">
        <v>0.1</v>
      </c>
      <c r="T81" s="647">
        <v>0.2</v>
      </c>
      <c r="U81" s="647">
        <v>0.2</v>
      </c>
      <c r="V81" s="648">
        <v>0.2</v>
      </c>
      <c r="W81" s="633"/>
    </row>
    <row r="82" spans="1:23" ht="12" customHeight="1" x14ac:dyDescent="0.2">
      <c r="A82" s="99"/>
      <c r="B82" s="100"/>
      <c r="C82" s="125"/>
      <c r="D82" s="101"/>
      <c r="E82" s="105"/>
      <c r="F82" s="103"/>
      <c r="G82" s="104"/>
      <c r="H82" s="104"/>
      <c r="I82" s="104"/>
      <c r="J82" s="104"/>
      <c r="K82" s="104"/>
      <c r="L82" s="104"/>
      <c r="M82" s="104"/>
      <c r="N82" s="104"/>
      <c r="O82" s="104"/>
      <c r="P82" s="104"/>
      <c r="Q82" s="104"/>
      <c r="R82" s="104"/>
      <c r="S82" s="104"/>
      <c r="T82" s="104"/>
      <c r="U82" s="104"/>
      <c r="V82" s="104"/>
      <c r="W82" s="106"/>
    </row>
    <row r="83" spans="1:23" ht="12" customHeight="1" thickBot="1" x14ac:dyDescent="0.25">
      <c r="A83" s="99"/>
      <c r="B83" s="100"/>
      <c r="C83" s="125" t="s">
        <v>233</v>
      </c>
      <c r="D83" s="101"/>
      <c r="E83" s="105"/>
      <c r="F83" s="103"/>
      <c r="G83" s="104"/>
      <c r="H83" s="104"/>
      <c r="I83" s="104"/>
      <c r="J83" s="104"/>
      <c r="K83" s="117"/>
      <c r="L83" s="117"/>
      <c r="M83" s="117"/>
      <c r="N83" s="117"/>
      <c r="O83" s="117"/>
      <c r="P83" s="117"/>
      <c r="Q83" s="117"/>
      <c r="R83" s="117"/>
      <c r="S83" s="117"/>
      <c r="T83" s="117"/>
      <c r="U83" s="117"/>
      <c r="V83" s="117"/>
      <c r="W83" s="106"/>
    </row>
    <row r="84" spans="1:23" ht="12" customHeight="1" x14ac:dyDescent="0.2">
      <c r="A84" s="572"/>
      <c r="B84" s="573"/>
      <c r="C84" s="601"/>
      <c r="D84" s="594" t="s">
        <v>124</v>
      </c>
      <c r="E84" s="595" t="s">
        <v>435</v>
      </c>
      <c r="F84" s="649" t="s">
        <v>125</v>
      </c>
      <c r="G84" s="597"/>
      <c r="H84" s="597"/>
      <c r="I84" s="597"/>
      <c r="J84" s="597"/>
      <c r="K84" s="598">
        <v>6</v>
      </c>
      <c r="L84" s="598">
        <v>6</v>
      </c>
      <c r="M84" s="598">
        <v>6</v>
      </c>
      <c r="N84" s="598">
        <v>6</v>
      </c>
      <c r="O84" s="598">
        <v>6</v>
      </c>
      <c r="P84" s="598">
        <v>6</v>
      </c>
      <c r="Q84" s="598">
        <v>6</v>
      </c>
      <c r="R84" s="598">
        <v>6</v>
      </c>
      <c r="S84" s="598">
        <v>6</v>
      </c>
      <c r="T84" s="598">
        <v>6</v>
      </c>
      <c r="U84" s="598">
        <v>6</v>
      </c>
      <c r="V84" s="600">
        <v>6</v>
      </c>
      <c r="W84" s="581"/>
    </row>
    <row r="85" spans="1:23" ht="12" customHeight="1" x14ac:dyDescent="0.2">
      <c r="A85" s="572"/>
      <c r="B85" s="573"/>
      <c r="C85" s="601"/>
      <c r="D85" s="575" t="s">
        <v>163</v>
      </c>
      <c r="E85" s="576" t="s">
        <v>436</v>
      </c>
      <c r="F85" s="650" t="s">
        <v>125</v>
      </c>
      <c r="G85" s="578"/>
      <c r="H85" s="578"/>
      <c r="I85" s="578"/>
      <c r="J85" s="578"/>
      <c r="K85" s="602">
        <v>0.2</v>
      </c>
      <c r="L85" s="602">
        <v>0.2</v>
      </c>
      <c r="M85" s="602">
        <v>0.2</v>
      </c>
      <c r="N85" s="602">
        <v>0.2</v>
      </c>
      <c r="O85" s="602">
        <v>0.2</v>
      </c>
      <c r="P85" s="602">
        <v>0.2</v>
      </c>
      <c r="Q85" s="602">
        <v>0.2</v>
      </c>
      <c r="R85" s="602">
        <v>0.2</v>
      </c>
      <c r="S85" s="602">
        <v>0.2</v>
      </c>
      <c r="T85" s="602">
        <v>0.2</v>
      </c>
      <c r="U85" s="602">
        <v>0.2</v>
      </c>
      <c r="V85" s="604">
        <v>0.2</v>
      </c>
      <c r="W85" s="581"/>
    </row>
    <row r="86" spans="1:23" ht="12" customHeight="1" thickBot="1" x14ac:dyDescent="0.25">
      <c r="A86" s="572"/>
      <c r="B86" s="573"/>
      <c r="C86" s="601"/>
      <c r="D86" s="588" t="s">
        <v>127</v>
      </c>
      <c r="E86" s="589" t="s">
        <v>336</v>
      </c>
      <c r="F86" s="651" t="s">
        <v>125</v>
      </c>
      <c r="G86" s="591"/>
      <c r="H86" s="591"/>
      <c r="I86" s="591"/>
      <c r="J86" s="591"/>
      <c r="K86" s="652">
        <v>2</v>
      </c>
      <c r="L86" s="652">
        <v>2</v>
      </c>
      <c r="M86" s="652">
        <v>2</v>
      </c>
      <c r="N86" s="652">
        <v>2</v>
      </c>
      <c r="O86" s="652">
        <v>2</v>
      </c>
      <c r="P86" s="652">
        <v>2</v>
      </c>
      <c r="Q86" s="652">
        <v>2</v>
      </c>
      <c r="R86" s="652">
        <v>2</v>
      </c>
      <c r="S86" s="652">
        <v>2</v>
      </c>
      <c r="T86" s="652">
        <v>2</v>
      </c>
      <c r="U86" s="652">
        <v>2</v>
      </c>
      <c r="V86" s="653">
        <v>2</v>
      </c>
      <c r="W86" s="581"/>
    </row>
    <row r="87" spans="1:23" ht="12" customHeight="1" x14ac:dyDescent="0.2">
      <c r="A87" s="99"/>
      <c r="B87" s="100"/>
      <c r="C87" s="125"/>
      <c r="D87" s="101"/>
      <c r="E87" s="105"/>
      <c r="F87" s="103"/>
      <c r="G87" s="104"/>
      <c r="H87" s="104"/>
      <c r="I87" s="104"/>
      <c r="J87" s="104"/>
      <c r="K87" s="117"/>
      <c r="L87" s="117"/>
      <c r="M87" s="117"/>
      <c r="N87" s="117"/>
      <c r="O87" s="117"/>
      <c r="P87" s="117"/>
      <c r="Q87" s="117"/>
      <c r="R87" s="117"/>
      <c r="S87" s="117"/>
      <c r="T87" s="117"/>
      <c r="U87" s="117"/>
      <c r="V87" s="117"/>
      <c r="W87" s="106"/>
    </row>
    <row r="88" spans="1:23" ht="12" customHeight="1" thickBot="1" x14ac:dyDescent="0.25">
      <c r="A88" s="99"/>
      <c r="B88" s="100"/>
      <c r="C88" s="125" t="s">
        <v>312</v>
      </c>
      <c r="D88" s="100"/>
      <c r="E88" s="141"/>
      <c r="F88" s="142"/>
      <c r="G88" s="143"/>
      <c r="H88" s="143"/>
      <c r="I88" s="143"/>
      <c r="J88" s="143"/>
      <c r="K88" s="141"/>
      <c r="L88" s="141"/>
      <c r="M88" s="141"/>
      <c r="N88" s="141"/>
      <c r="O88" s="141"/>
      <c r="P88" s="141"/>
      <c r="Q88" s="141"/>
      <c r="R88" s="141"/>
      <c r="S88" s="141"/>
      <c r="T88" s="141"/>
      <c r="U88" s="141"/>
      <c r="V88" s="141"/>
      <c r="W88" s="144"/>
    </row>
    <row r="89" spans="1:23" ht="12" customHeight="1" x14ac:dyDescent="0.2">
      <c r="A89" s="560"/>
      <c r="B89" s="101"/>
      <c r="C89" s="101"/>
      <c r="D89" s="759" t="s">
        <v>411</v>
      </c>
      <c r="E89" s="761" t="s">
        <v>336</v>
      </c>
      <c r="F89" s="649" t="s">
        <v>378</v>
      </c>
      <c r="G89" s="237"/>
      <c r="H89" s="237"/>
      <c r="I89" s="237"/>
      <c r="J89" s="237"/>
      <c r="K89" s="654">
        <v>0.99080761654629024</v>
      </c>
      <c r="L89" s="654">
        <v>1.1201044386422978</v>
      </c>
      <c r="M89" s="654">
        <v>1.3448275862068966</v>
      </c>
      <c r="N89" s="654">
        <v>1.8319107025607355</v>
      </c>
      <c r="O89" s="654">
        <v>4.4647519582245438</v>
      </c>
      <c r="P89" s="654">
        <v>16.068965517241381</v>
      </c>
      <c r="Q89" s="654">
        <v>4.6741272472449684E-2</v>
      </c>
      <c r="R89" s="654">
        <v>4.6741272472449684E-2</v>
      </c>
      <c r="S89" s="654">
        <v>4.6741272472449684E-2</v>
      </c>
      <c r="T89" s="654">
        <v>0.33252136373843899</v>
      </c>
      <c r="U89" s="654">
        <v>0.33252136373843899</v>
      </c>
      <c r="V89" s="655">
        <v>0.33252136373843899</v>
      </c>
      <c r="W89" s="581"/>
    </row>
    <row r="90" spans="1:23" ht="12" customHeight="1" x14ac:dyDescent="0.2">
      <c r="A90" s="560"/>
      <c r="B90" s="101"/>
      <c r="C90" s="101"/>
      <c r="D90" s="760"/>
      <c r="E90" s="762"/>
      <c r="F90" s="650" t="s">
        <v>379</v>
      </c>
      <c r="G90" s="104"/>
      <c r="H90" s="104"/>
      <c r="I90" s="104"/>
      <c r="J90" s="104"/>
      <c r="K90" s="656" t="s">
        <v>437</v>
      </c>
      <c r="L90" s="656" t="s">
        <v>437</v>
      </c>
      <c r="M90" s="656" t="s">
        <v>437</v>
      </c>
      <c r="N90" s="656" t="s">
        <v>437</v>
      </c>
      <c r="O90" s="656" t="s">
        <v>437</v>
      </c>
      <c r="P90" s="656" t="s">
        <v>437</v>
      </c>
      <c r="Q90" s="656">
        <v>1.0480254681545813</v>
      </c>
      <c r="R90" s="656">
        <v>2.1014254258894423</v>
      </c>
      <c r="S90" s="656">
        <v>3.1548253836243036</v>
      </c>
      <c r="T90" s="656">
        <v>1.184501125588775</v>
      </c>
      <c r="U90" s="656">
        <v>2.0916484533034345</v>
      </c>
      <c r="V90" s="657">
        <v>2.9987957810180941</v>
      </c>
      <c r="W90" s="581"/>
    </row>
    <row r="91" spans="1:23" ht="12" customHeight="1" x14ac:dyDescent="0.2">
      <c r="A91" s="560"/>
      <c r="B91" s="101"/>
      <c r="C91" s="101"/>
      <c r="D91" s="763" t="s">
        <v>311</v>
      </c>
      <c r="E91" s="764" t="s">
        <v>310</v>
      </c>
      <c r="F91" s="650" t="s">
        <v>378</v>
      </c>
      <c r="G91" s="104"/>
      <c r="H91" s="104"/>
      <c r="I91" s="104"/>
      <c r="J91" s="104"/>
      <c r="K91" s="656">
        <v>0.19379373288713111</v>
      </c>
      <c r="L91" s="656">
        <v>0.46553808948004832</v>
      </c>
      <c r="M91" s="656">
        <v>1.7060109289617484</v>
      </c>
      <c r="N91" s="656">
        <v>0.12351688469729236</v>
      </c>
      <c r="O91" s="656">
        <v>0.18621523579201932</v>
      </c>
      <c r="P91" s="656">
        <v>0.44371584699453548</v>
      </c>
      <c r="Q91" s="656">
        <v>1.5352927037709645E-2</v>
      </c>
      <c r="R91" s="656">
        <v>1.5352927037709645E-2</v>
      </c>
      <c r="S91" s="656">
        <v>1.5352927037709645E-2</v>
      </c>
      <c r="T91" s="656">
        <v>8.1859099717572742E-2</v>
      </c>
      <c r="U91" s="656">
        <v>8.1859099717572742E-2</v>
      </c>
      <c r="V91" s="657">
        <v>8.1859099717572742E-2</v>
      </c>
      <c r="W91" s="581"/>
    </row>
    <row r="92" spans="1:23" ht="12" customHeight="1" x14ac:dyDescent="0.2">
      <c r="A92" s="560"/>
      <c r="B92" s="101"/>
      <c r="C92" s="101"/>
      <c r="D92" s="760"/>
      <c r="E92" s="762"/>
      <c r="F92" s="650" t="s">
        <v>379</v>
      </c>
      <c r="G92" s="104"/>
      <c r="H92" s="104"/>
      <c r="I92" s="104"/>
      <c r="J92" s="104"/>
      <c r="K92" s="656" t="s">
        <v>437</v>
      </c>
      <c r="L92" s="656" t="s">
        <v>437</v>
      </c>
      <c r="M92" s="656" t="s">
        <v>437</v>
      </c>
      <c r="N92" s="656" t="s">
        <v>437</v>
      </c>
      <c r="O92" s="656" t="s">
        <v>437</v>
      </c>
      <c r="P92" s="656" t="s">
        <v>437</v>
      </c>
      <c r="Q92" s="656">
        <v>1.3428678213947836E-2</v>
      </c>
      <c r="R92" s="656">
        <v>1.3428678213947836E-2</v>
      </c>
      <c r="S92" s="656">
        <v>1.3428678213947836E-2</v>
      </c>
      <c r="T92" s="656">
        <v>7.4967504300973251E-2</v>
      </c>
      <c r="U92" s="656">
        <v>7.4967504300973251E-2</v>
      </c>
      <c r="V92" s="657">
        <v>7.4967504300973251E-2</v>
      </c>
      <c r="W92" s="581"/>
    </row>
    <row r="93" spans="1:23" ht="12" customHeight="1" x14ac:dyDescent="0.2">
      <c r="A93" s="560"/>
      <c r="B93" s="101"/>
      <c r="C93" s="101"/>
      <c r="D93" s="763" t="s">
        <v>115</v>
      </c>
      <c r="E93" s="764" t="s">
        <v>435</v>
      </c>
      <c r="F93" s="650" t="s">
        <v>378</v>
      </c>
      <c r="G93" s="104"/>
      <c r="H93" s="104"/>
      <c r="I93" s="104"/>
      <c r="J93" s="104"/>
      <c r="K93" s="656">
        <v>7.2325947701909792</v>
      </c>
      <c r="L93" s="656">
        <v>6.7884330495996972</v>
      </c>
      <c r="M93" s="656">
        <v>2.8841224037563031</v>
      </c>
      <c r="N93" s="656">
        <v>6.8003692803994307</v>
      </c>
      <c r="O93" s="656">
        <v>5.236246021418272</v>
      </c>
      <c r="P93" s="656">
        <v>0</v>
      </c>
      <c r="Q93" s="656">
        <v>8.5656601742746954</v>
      </c>
      <c r="R93" s="656">
        <v>8.4503750760475747</v>
      </c>
      <c r="S93" s="656">
        <v>8.3350899778204557</v>
      </c>
      <c r="T93" s="656">
        <v>6.6810620184512794</v>
      </c>
      <c r="U93" s="656">
        <v>6.5762320331107</v>
      </c>
      <c r="V93" s="657">
        <v>6.4714020477701206</v>
      </c>
      <c r="W93" s="581"/>
    </row>
    <row r="94" spans="1:23" ht="12" customHeight="1" thickBot="1" x14ac:dyDescent="0.25">
      <c r="A94" s="606"/>
      <c r="B94" s="611"/>
      <c r="C94" s="658"/>
      <c r="D94" s="765"/>
      <c r="E94" s="766"/>
      <c r="F94" s="651" t="s">
        <v>379</v>
      </c>
      <c r="G94" s="591"/>
      <c r="H94" s="591"/>
      <c r="I94" s="591"/>
      <c r="J94" s="591"/>
      <c r="K94" s="592" t="s">
        <v>437</v>
      </c>
      <c r="L94" s="592" t="s">
        <v>437</v>
      </c>
      <c r="M94" s="592" t="s">
        <v>437</v>
      </c>
      <c r="N94" s="592" t="s">
        <v>437</v>
      </c>
      <c r="O94" s="592" t="s">
        <v>437</v>
      </c>
      <c r="P94" s="592" t="s">
        <v>437</v>
      </c>
      <c r="Q94" s="592">
        <v>6.2057898481230538</v>
      </c>
      <c r="R94" s="592">
        <v>3.8683948658569314</v>
      </c>
      <c r="S94" s="592">
        <v>1.5309998835908059</v>
      </c>
      <c r="T94" s="592">
        <v>4.9833364623727476</v>
      </c>
      <c r="U94" s="592">
        <v>3.1245536455839309</v>
      </c>
      <c r="V94" s="593">
        <v>1.2657708287951142</v>
      </c>
      <c r="W94" s="581"/>
    </row>
    <row r="95" spans="1:23" ht="12" customHeight="1" x14ac:dyDescent="0.2">
      <c r="A95" s="99"/>
      <c r="B95" s="100"/>
      <c r="C95" s="125"/>
      <c r="D95" s="101"/>
      <c r="E95" s="105"/>
      <c r="F95" s="103"/>
      <c r="G95" s="104"/>
      <c r="H95" s="104"/>
      <c r="I95" s="104"/>
      <c r="J95" s="104"/>
      <c r="K95" s="105"/>
      <c r="L95" s="105"/>
      <c r="M95" s="105"/>
      <c r="N95" s="105"/>
      <c r="O95" s="105"/>
      <c r="P95" s="105"/>
      <c r="Q95" s="105"/>
      <c r="R95" s="105"/>
      <c r="S95" s="105"/>
      <c r="T95" s="105"/>
      <c r="U95" s="105"/>
      <c r="V95" s="105"/>
      <c r="W95" s="106"/>
    </row>
    <row r="96" spans="1:23" ht="12" customHeight="1" thickBot="1" x14ac:dyDescent="0.25">
      <c r="A96" s="99"/>
      <c r="B96" s="100"/>
      <c r="C96" s="125" t="s">
        <v>17</v>
      </c>
      <c r="D96" s="100"/>
      <c r="E96" s="141"/>
      <c r="F96" s="142"/>
      <c r="G96" s="143"/>
      <c r="H96" s="143"/>
      <c r="I96" s="143"/>
      <c r="J96" s="143"/>
      <c r="K96" s="141"/>
      <c r="L96" s="141"/>
      <c r="M96" s="141"/>
      <c r="N96" s="141"/>
      <c r="O96" s="141"/>
      <c r="P96" s="141"/>
      <c r="Q96" s="141"/>
      <c r="R96" s="141"/>
      <c r="S96" s="141"/>
      <c r="T96" s="141"/>
      <c r="U96" s="141"/>
      <c r="V96" s="141"/>
      <c r="W96" s="144"/>
    </row>
    <row r="97" spans="1:23" ht="12" customHeight="1" x14ac:dyDescent="0.2">
      <c r="A97" s="572"/>
      <c r="B97" s="573"/>
      <c r="C97" s="573"/>
      <c r="D97" s="594" t="s">
        <v>438</v>
      </c>
      <c r="E97" s="595" t="s">
        <v>34</v>
      </c>
      <c r="F97" s="659"/>
      <c r="G97" s="660"/>
      <c r="H97" s="660"/>
      <c r="I97" s="660"/>
      <c r="J97" s="660"/>
      <c r="K97" s="595" t="s">
        <v>24</v>
      </c>
      <c r="L97" s="595" t="s">
        <v>24</v>
      </c>
      <c r="M97" s="595" t="s">
        <v>24</v>
      </c>
      <c r="N97" s="595" t="s">
        <v>24</v>
      </c>
      <c r="O97" s="595" t="s">
        <v>15</v>
      </c>
      <c r="P97" s="595" t="s">
        <v>23</v>
      </c>
      <c r="Q97" s="595" t="s">
        <v>24</v>
      </c>
      <c r="R97" s="595" t="s">
        <v>24</v>
      </c>
      <c r="S97" s="595" t="s">
        <v>24</v>
      </c>
      <c r="T97" s="595" t="s">
        <v>24</v>
      </c>
      <c r="U97" s="595" t="s">
        <v>15</v>
      </c>
      <c r="V97" s="661" t="s">
        <v>23</v>
      </c>
      <c r="W97" s="662"/>
    </row>
    <row r="98" spans="1:23" ht="12" customHeight="1" x14ac:dyDescent="0.2">
      <c r="A98" s="572"/>
      <c r="B98" s="573"/>
      <c r="C98" s="574"/>
      <c r="D98" s="575" t="s">
        <v>61</v>
      </c>
      <c r="E98" s="576" t="s">
        <v>34</v>
      </c>
      <c r="F98" s="577"/>
      <c r="G98" s="578"/>
      <c r="H98" s="578"/>
      <c r="I98" s="578"/>
      <c r="J98" s="578"/>
      <c r="K98" s="612" t="s">
        <v>24</v>
      </c>
      <c r="L98" s="612" t="s">
        <v>15</v>
      </c>
      <c r="M98" s="612" t="s">
        <v>23</v>
      </c>
      <c r="N98" s="612" t="s">
        <v>24</v>
      </c>
      <c r="O98" s="612" t="s">
        <v>15</v>
      </c>
      <c r="P98" s="612" t="s">
        <v>23</v>
      </c>
      <c r="Q98" s="612" t="s">
        <v>23</v>
      </c>
      <c r="R98" s="612" t="s">
        <v>23</v>
      </c>
      <c r="S98" s="612" t="s">
        <v>23</v>
      </c>
      <c r="T98" s="612" t="s">
        <v>15</v>
      </c>
      <c r="U98" s="612" t="s">
        <v>15</v>
      </c>
      <c r="V98" s="613" t="s">
        <v>15</v>
      </c>
      <c r="W98" s="581"/>
    </row>
    <row r="99" spans="1:23" ht="12" customHeight="1" x14ac:dyDescent="0.2">
      <c r="A99" s="572"/>
      <c r="B99" s="573"/>
      <c r="C99" s="573"/>
      <c r="D99" s="606"/>
      <c r="E99" s="607"/>
      <c r="F99" s="577"/>
      <c r="G99" s="578"/>
      <c r="H99" s="578"/>
      <c r="I99" s="578"/>
      <c r="J99" s="578"/>
      <c r="K99" s="607"/>
      <c r="L99" s="607"/>
      <c r="M99" s="607"/>
      <c r="N99" s="607"/>
      <c r="O99" s="607"/>
      <c r="P99" s="607"/>
      <c r="Q99" s="607"/>
      <c r="R99" s="607"/>
      <c r="S99" s="607"/>
      <c r="T99" s="607"/>
      <c r="U99" s="607"/>
      <c r="V99" s="610"/>
      <c r="W99" s="581"/>
    </row>
    <row r="100" spans="1:23" ht="12" customHeight="1" x14ac:dyDescent="0.2">
      <c r="A100" s="572"/>
      <c r="B100" s="573"/>
      <c r="C100" s="574"/>
      <c r="D100" s="755" t="s">
        <v>160</v>
      </c>
      <c r="E100" s="756"/>
      <c r="F100" s="756"/>
      <c r="G100" s="578"/>
      <c r="H100" s="578"/>
      <c r="I100" s="578"/>
      <c r="J100" s="578"/>
      <c r="K100" s="656">
        <v>1.4637967858026342</v>
      </c>
      <c r="L100" s="656">
        <v>1.4136967211544622</v>
      </c>
      <c r="M100" s="656">
        <v>0.91930691634845019</v>
      </c>
      <c r="N100" s="656">
        <v>1.3477325476767159</v>
      </c>
      <c r="O100" s="656">
        <v>1.0072419819732812</v>
      </c>
      <c r="P100" s="656">
        <v>0</v>
      </c>
      <c r="Q100" s="656">
        <v>1.2259973721641353</v>
      </c>
      <c r="R100" s="656">
        <v>0.76429869539393613</v>
      </c>
      <c r="S100" s="656">
        <v>0.30260001862373653</v>
      </c>
      <c r="T100" s="656">
        <v>0.98436715570761191</v>
      </c>
      <c r="U100" s="656">
        <v>0.6174594099675661</v>
      </c>
      <c r="V100" s="657">
        <v>0.25055166422752051</v>
      </c>
      <c r="W100" s="581"/>
    </row>
    <row r="101" spans="1:23" ht="12" customHeight="1" thickBot="1" x14ac:dyDescent="0.25">
      <c r="A101" s="572"/>
      <c r="B101" s="573"/>
      <c r="C101" s="574"/>
      <c r="D101" s="757" t="s">
        <v>159</v>
      </c>
      <c r="E101" s="758"/>
      <c r="F101" s="758"/>
      <c r="G101" s="591"/>
      <c r="H101" s="591"/>
      <c r="I101" s="591"/>
      <c r="J101" s="591"/>
      <c r="K101" s="589" t="s">
        <v>24</v>
      </c>
      <c r="L101" s="589" t="s">
        <v>24</v>
      </c>
      <c r="M101" s="589" t="s">
        <v>23</v>
      </c>
      <c r="N101" s="589" t="s">
        <v>24</v>
      </c>
      <c r="O101" s="589" t="s">
        <v>15</v>
      </c>
      <c r="P101" s="589" t="s">
        <v>96</v>
      </c>
      <c r="Q101" s="589" t="s">
        <v>15</v>
      </c>
      <c r="R101" s="589" t="s">
        <v>23</v>
      </c>
      <c r="S101" s="589" t="s">
        <v>96</v>
      </c>
      <c r="T101" s="589" t="s">
        <v>23</v>
      </c>
      <c r="U101" s="589" t="s">
        <v>96</v>
      </c>
      <c r="V101" s="663" t="s">
        <v>96</v>
      </c>
      <c r="W101" s="581"/>
    </row>
    <row r="102" spans="1:23" ht="12" customHeight="1" thickBot="1" x14ac:dyDescent="0.25">
      <c r="A102" s="145"/>
      <c r="B102" s="146"/>
      <c r="C102" s="147"/>
      <c r="D102" s="148"/>
      <c r="E102" s="149"/>
      <c r="F102" s="150"/>
      <c r="G102" s="151"/>
      <c r="H102" s="151"/>
      <c r="I102" s="151"/>
      <c r="J102" s="151"/>
      <c r="K102" s="149"/>
      <c r="L102" s="149"/>
      <c r="M102" s="149"/>
      <c r="N102" s="149"/>
      <c r="O102" s="149"/>
      <c r="P102" s="149"/>
      <c r="Q102" s="149"/>
      <c r="R102" s="149"/>
      <c r="S102" s="149"/>
      <c r="T102" s="149"/>
      <c r="U102" s="149"/>
      <c r="V102" s="149"/>
      <c r="W102" s="152"/>
    </row>
  </sheetData>
  <sheetProtection sheet="1" objects="1" scenarios="1"/>
  <mergeCells count="29">
    <mergeCell ref="V1:V6"/>
    <mergeCell ref="M1:M6"/>
    <mergeCell ref="N1:N6"/>
    <mergeCell ref="O1:O6"/>
    <mergeCell ref="P1:P6"/>
    <mergeCell ref="Q1:Q6"/>
    <mergeCell ref="R1:R6"/>
    <mergeCell ref="S1:S6"/>
    <mergeCell ref="T1:T6"/>
    <mergeCell ref="U1:U6"/>
    <mergeCell ref="E36:E38"/>
    <mergeCell ref="D37:D38"/>
    <mergeCell ref="L1:L6"/>
    <mergeCell ref="K1:K6"/>
    <mergeCell ref="E32:E34"/>
    <mergeCell ref="D15:D16"/>
    <mergeCell ref="D17:D18"/>
    <mergeCell ref="D19:D20"/>
    <mergeCell ref="D29:D31"/>
    <mergeCell ref="E29:E31"/>
    <mergeCell ref="D32:D34"/>
    <mergeCell ref="D100:F100"/>
    <mergeCell ref="D101:F101"/>
    <mergeCell ref="D89:D90"/>
    <mergeCell ref="E89:E90"/>
    <mergeCell ref="D91:D92"/>
    <mergeCell ref="E91:E92"/>
    <mergeCell ref="D93:D94"/>
    <mergeCell ref="E93:E94"/>
  </mergeCells>
  <conditionalFormatting sqref="K101:V101">
    <cfRule type="cellIs" dxfId="29" priority="19" operator="equal">
      <formula>"zeer hoog"</formula>
    </cfRule>
    <cfRule type="cellIs" dxfId="28" priority="20" operator="equal">
      <formula>"hoog"</formula>
    </cfRule>
    <cfRule type="cellIs" dxfId="27" priority="21" operator="equal">
      <formula>"laag"</formula>
    </cfRule>
  </conditionalFormatting>
  <conditionalFormatting sqref="K101:V101">
    <cfRule type="cellIs" dxfId="26" priority="18" operator="equal">
      <formula>"matig"</formula>
    </cfRule>
  </conditionalFormatting>
  <conditionalFormatting sqref="K97:V98">
    <cfRule type="cellIs" dxfId="25" priority="15" operator="equal">
      <formula>"hoog"</formula>
    </cfRule>
    <cfRule type="cellIs" dxfId="24" priority="16" operator="equal">
      <formula>"matig"</formula>
    </cfRule>
    <cfRule type="cellIs" dxfId="23" priority="17" operator="equal">
      <formula>"laag"</formula>
    </cfRule>
  </conditionalFormatting>
  <conditionalFormatting sqref="K101:V102">
    <cfRule type="cellIs" priority="14" operator="equal">
      <formula>""""""</formula>
    </cfRule>
  </conditionalFormatting>
  <conditionalFormatting sqref="K84:V84">
    <cfRule type="cellIs" dxfId="22" priority="13" operator="equal">
      <formula>6</formula>
    </cfRule>
  </conditionalFormatting>
  <conditionalFormatting sqref="K86:V86">
    <cfRule type="cellIs" dxfId="21" priority="12" operator="equal">
      <formula>2</formula>
    </cfRule>
  </conditionalFormatting>
  <conditionalFormatting sqref="K9:V9">
    <cfRule type="cellIs" dxfId="20" priority="11" operator="equal">
      <formula>5</formula>
    </cfRule>
  </conditionalFormatting>
  <conditionalFormatting sqref="K76:V76">
    <cfRule type="cellIs" dxfId="19" priority="10" operator="equal">
      <formula>20</formula>
    </cfRule>
  </conditionalFormatting>
  <conditionalFormatting sqref="K85:V85">
    <cfRule type="cellIs" dxfId="18" priority="9" operator="equal">
      <formula>0.2</formula>
    </cfRule>
  </conditionalFormatting>
  <conditionalFormatting sqref="K59:V59">
    <cfRule type="cellIs" dxfId="17" priority="23" stopIfTrue="1" operator="equal">
      <formula>""</formula>
    </cfRule>
    <cfRule type="expression" dxfId="16" priority="24" stopIfTrue="1">
      <formula>ABS(K59/(IF(K58=1,K56*K57,IF(K58=2,PI()*((K56/2*K57/2)),""))))&lt;0.5</formula>
    </cfRule>
    <cfRule type="expression" dxfId="15" priority="25" stopIfTrue="1">
      <formula>ABS(K59/(IF(K58=1,K56*K57,IF(K58=2,PI()*((K56/2*K57/2)),""))))&lt;0.75</formula>
    </cfRule>
    <cfRule type="expression" dxfId="14" priority="26" stopIfTrue="1">
      <formula>ABS(K59/(IF(K58=1,K56*K57,IF(K58=2,PI()*((K56/2*K57/2)),""))))&gt;1.25</formula>
    </cfRule>
    <cfRule type="expression" dxfId="13" priority="27" stopIfTrue="1">
      <formula>ABS(K59/(IF(K58=1,K56*K57,IF(K58=2,PI()*((K56/2*K57/2)),""))))&gt;1.5</formula>
    </cfRule>
  </conditionalFormatting>
  <conditionalFormatting sqref="K29:V31">
    <cfRule type="cellIs" dxfId="12" priority="28" operator="greaterThan">
      <formula>IF(K$55=1,2*(K$53+K$54),2*pi*(K$53+K$54)/2)</formula>
    </cfRule>
  </conditionalFormatting>
  <conditionalFormatting sqref="K66:V66">
    <cfRule type="cellIs" dxfId="11" priority="6" stopIfTrue="1" operator="greaterThan">
      <formula>0</formula>
    </cfRule>
    <cfRule type="expression" dxfId="10" priority="7" stopIfTrue="1">
      <formula>K67&gt;0</formula>
    </cfRule>
  </conditionalFormatting>
  <conditionalFormatting sqref="K73:V73">
    <cfRule type="cellIs" dxfId="9" priority="4" operator="greaterThan">
      <formula>1.2</formula>
    </cfRule>
    <cfRule type="expression" dxfId="8" priority="5">
      <formula>(6-K67)*K73&gt;0.01</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30" id="{9FB75237-C632-4971-97F6-2B50C2C9AAC0}">
            <xm:f>kentallen!$K37&lt;&gt;kentallen!$K11</xm:f>
            <x14:dxf>
              <font>
                <color rgb="FFFF0000"/>
              </font>
            </x14:dxf>
          </x14:cfRule>
          <xm:sqref>G23:J38</xm:sqref>
        </x14:conditionalFormatting>
        <x14:conditionalFormatting xmlns:xm="http://schemas.microsoft.com/office/excel/2006/main">
          <x14:cfRule type="expression" priority="31" id="{63BB9342-D1D5-4B12-8051-C4A9B4664862}">
            <xm:f>kentallen!$K33&lt;&gt;kentallen!$K7</xm:f>
            <x14:dxf>
              <font>
                <color rgb="FFFF0000"/>
              </font>
            </x14:dxf>
          </x14:cfRule>
          <xm:sqref>G15:H15</xm:sqref>
        </x14:conditionalFormatting>
        <x14:conditionalFormatting xmlns:xm="http://schemas.microsoft.com/office/excel/2006/main">
          <x14:cfRule type="expression" priority="32" id="{7FACE64C-F040-4AB1-81EA-5E9270030F8E}">
            <xm:f>kentallen!$K34&lt;&gt;kentallen!$K8</xm:f>
            <x14:dxf>
              <font>
                <color rgb="FFFF0000"/>
              </font>
            </x14:dxf>
          </x14:cfRule>
          <xm:sqref>G17:H17</xm:sqref>
        </x14:conditionalFormatting>
        <x14:conditionalFormatting xmlns:xm="http://schemas.microsoft.com/office/excel/2006/main">
          <x14:cfRule type="expression" priority="33" id="{CF66B263-DF24-4B0C-A1DE-5D1F894C8539}">
            <xm:f>kentallen!$K35&lt;&gt;kentallen!$K9</xm:f>
            <x14:dxf>
              <font>
                <color rgb="FFFF0000"/>
              </font>
            </x14:dxf>
          </x14:cfRule>
          <xm:sqref>G19:H19</xm:sqref>
        </x14:conditionalFormatting>
        <x14:conditionalFormatting xmlns:xm="http://schemas.microsoft.com/office/excel/2006/main">
          <x14:cfRule type="expression" priority="34" id="{355B5E0E-08C4-4A05-8779-363C73E45054}">
            <xm:f>kentallen!$K36&lt;&gt;kentallen!$K10</xm:f>
            <x14:dxf>
              <font>
                <color rgb="FFFF0000"/>
              </font>
            </x14:dxf>
          </x14:cfRule>
          <xm:sqref>G21:J21</xm:sqref>
        </x14:conditionalFormatting>
        <x14:conditionalFormatting xmlns:xm="http://schemas.microsoft.com/office/excel/2006/main">
          <x14:cfRule type="expression" priority="3" id="{0F125377-BECC-4A34-B159-4254F214DE4D}">
            <xm:f>kentallen!M33&lt;&gt;kentallen!M7</xm:f>
            <x14:dxf>
              <font>
                <color rgb="FFFF0000"/>
              </font>
            </x14:dxf>
          </x14:cfRule>
          <xm:sqref>I16:J16</xm:sqref>
        </x14:conditionalFormatting>
        <x14:conditionalFormatting xmlns:xm="http://schemas.microsoft.com/office/excel/2006/main">
          <x14:cfRule type="expression" priority="2" id="{4BDD3B23-EF72-47A8-AAEA-DF43C18C522E}">
            <xm:f>kentallen!M34&lt;&gt;kentallen!M8</xm:f>
            <x14:dxf>
              <font>
                <color rgb="FFFF0000"/>
              </font>
            </x14:dxf>
          </x14:cfRule>
          <xm:sqref>I18:J18</xm:sqref>
        </x14:conditionalFormatting>
        <x14:conditionalFormatting xmlns:xm="http://schemas.microsoft.com/office/excel/2006/main">
          <x14:cfRule type="expression" priority="1" id="{98439A5D-5F22-48C5-8B17-A69CFC02E73B}">
            <xm:f>kentallen!M35&lt;&gt;kentallen!M9</xm:f>
            <x14:dxf>
              <font>
                <color rgb="FFFF0000"/>
              </font>
            </x14:dxf>
          </x14:cfRule>
          <xm:sqref>I20:J20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theme="9" tint="0.59999389629810485"/>
  </sheetPr>
  <dimension ref="A1:AX313"/>
  <sheetViews>
    <sheetView zoomScaleNormal="100" workbookViewId="0">
      <selection activeCell="B1" sqref="B1"/>
    </sheetView>
  </sheetViews>
  <sheetFormatPr defaultColWidth="9.140625" defaultRowHeight="12.75" x14ac:dyDescent="0.2"/>
  <cols>
    <col min="1" max="1" width="3.28515625" style="156" customWidth="1"/>
    <col min="2" max="2" width="25.5703125" style="156" customWidth="1"/>
    <col min="3" max="3" width="50.140625" style="156" customWidth="1"/>
    <col min="4" max="4" width="8.85546875" style="156" bestFit="1" customWidth="1"/>
    <col min="5" max="5" width="101.85546875" style="156" customWidth="1"/>
    <col min="6" max="17" width="14.42578125" style="156" customWidth="1"/>
    <col min="18" max="16384" width="9.140625" style="156"/>
  </cols>
  <sheetData>
    <row r="1" spans="2:17" ht="26.25" x14ac:dyDescent="0.4">
      <c r="B1" s="203" t="s">
        <v>145</v>
      </c>
    </row>
    <row r="2" spans="2:17" ht="25.5" x14ac:dyDescent="0.2">
      <c r="B2" s="153" t="s">
        <v>97</v>
      </c>
      <c r="C2" s="154" t="s">
        <v>14</v>
      </c>
      <c r="D2" s="154" t="s">
        <v>6</v>
      </c>
      <c r="E2" s="154" t="s">
        <v>16</v>
      </c>
      <c r="F2" s="155" t="str">
        <f>F60</f>
        <v>Voorbeeld (200m)</v>
      </c>
      <c r="G2" s="155" t="str">
        <f t="shared" ref="G2:Q2" si="0">G60</f>
        <v>water_2 (0m)</v>
      </c>
      <c r="H2" s="155" t="str">
        <f t="shared" si="0"/>
        <v>water_3 (0m)</v>
      </c>
      <c r="I2" s="155" t="str">
        <f t="shared" si="0"/>
        <v>water_4 (0m)</v>
      </c>
      <c r="J2" s="155" t="str">
        <f t="shared" si="0"/>
        <v>water_5 (0m)</v>
      </c>
      <c r="K2" s="155" t="str">
        <f t="shared" si="0"/>
        <v>water_6 (0m)</v>
      </c>
      <c r="L2" s="155" t="str">
        <f t="shared" si="0"/>
        <v>water_7 (0m)</v>
      </c>
      <c r="M2" s="155" t="str">
        <f t="shared" si="0"/>
        <v>water_8 (0m)</v>
      </c>
      <c r="N2" s="155" t="str">
        <f t="shared" si="0"/>
        <v>water_9 (0m)</v>
      </c>
      <c r="O2" s="155" t="str">
        <f t="shared" si="0"/>
        <v>water_10 (0m)</v>
      </c>
      <c r="P2" s="155" t="str">
        <f t="shared" si="0"/>
        <v>water_11 (0m)</v>
      </c>
      <c r="Q2" s="155" t="str">
        <f t="shared" si="0"/>
        <v>water_12 (0m)</v>
      </c>
    </row>
    <row r="3" spans="2:17" ht="15" x14ac:dyDescent="0.2">
      <c r="B3" s="157" t="s">
        <v>287</v>
      </c>
      <c r="C3" s="158" t="s">
        <v>288</v>
      </c>
      <c r="D3" s="158" t="s">
        <v>290</v>
      </c>
      <c r="E3" s="158" t="s">
        <v>289</v>
      </c>
      <c r="F3" s="159">
        <f>invulblad!K73</f>
        <v>20</v>
      </c>
      <c r="G3" s="159">
        <f>invulblad!L73</f>
        <v>20</v>
      </c>
      <c r="H3" s="159">
        <f>invulblad!M73</f>
        <v>20</v>
      </c>
      <c r="I3" s="159">
        <f>invulblad!N73</f>
        <v>20</v>
      </c>
      <c r="J3" s="159">
        <f>invulblad!O73</f>
        <v>20</v>
      </c>
      <c r="K3" s="159">
        <f>invulblad!P73</f>
        <v>20</v>
      </c>
      <c r="L3" s="159">
        <f>invulblad!Q73</f>
        <v>20</v>
      </c>
      <c r="M3" s="159">
        <f>invulblad!R73</f>
        <v>20</v>
      </c>
      <c r="N3" s="159">
        <f>invulblad!S73</f>
        <v>20</v>
      </c>
      <c r="O3" s="159">
        <f>invulblad!T73</f>
        <v>20</v>
      </c>
      <c r="P3" s="159">
        <f>invulblad!U73</f>
        <v>20</v>
      </c>
      <c r="Q3" s="159">
        <f>invulblad!V73</f>
        <v>20</v>
      </c>
    </row>
    <row r="4" spans="2:17" ht="14.25" x14ac:dyDescent="0.25">
      <c r="B4" s="157" t="s">
        <v>335</v>
      </c>
      <c r="C4" s="158" t="s">
        <v>337</v>
      </c>
      <c r="D4" s="158" t="s">
        <v>336</v>
      </c>
      <c r="E4" s="158" t="s">
        <v>289</v>
      </c>
      <c r="F4" s="160">
        <f>invulblad!K6</f>
        <v>5</v>
      </c>
      <c r="G4" s="160">
        <f>invulblad!L6</f>
        <v>5</v>
      </c>
      <c r="H4" s="160">
        <f>invulblad!M6</f>
        <v>5</v>
      </c>
      <c r="I4" s="160">
        <f>invulblad!N6</f>
        <v>5</v>
      </c>
      <c r="J4" s="160">
        <f>invulblad!O6</f>
        <v>5</v>
      </c>
      <c r="K4" s="160">
        <f>invulblad!P6</f>
        <v>5</v>
      </c>
      <c r="L4" s="160">
        <f>invulblad!Q6</f>
        <v>5</v>
      </c>
      <c r="M4" s="160">
        <f>invulblad!R6</f>
        <v>5</v>
      </c>
      <c r="N4" s="160">
        <f>invulblad!S6</f>
        <v>5</v>
      </c>
      <c r="O4" s="160">
        <f>invulblad!T6</f>
        <v>5</v>
      </c>
      <c r="P4" s="160">
        <f>invulblad!U6</f>
        <v>5</v>
      </c>
      <c r="Q4" s="160">
        <f>invulblad!V6</f>
        <v>5</v>
      </c>
    </row>
    <row r="5" spans="2:17" ht="14.25" x14ac:dyDescent="0.25">
      <c r="B5" s="157" t="s">
        <v>116</v>
      </c>
      <c r="C5" s="158" t="s">
        <v>99</v>
      </c>
      <c r="D5" s="158" t="s">
        <v>98</v>
      </c>
      <c r="E5" s="184" t="s">
        <v>146</v>
      </c>
      <c r="F5" s="160">
        <f>VLOOKUP(invulblad!K73,zuurstofverzadiging!$M:$O,3,FALSE)</f>
        <v>9.021808</v>
      </c>
      <c r="G5" s="160">
        <f>VLOOKUP(invulblad!L73,zuurstofverzadiging!$M:$O,3,FALSE)</f>
        <v>9.021808</v>
      </c>
      <c r="H5" s="160">
        <f>VLOOKUP(invulblad!M73,zuurstofverzadiging!$M:$O,3,FALSE)</f>
        <v>9.021808</v>
      </c>
      <c r="I5" s="160">
        <f>VLOOKUP(invulblad!N73,zuurstofverzadiging!$M:$O,3,FALSE)</f>
        <v>9.021808</v>
      </c>
      <c r="J5" s="160">
        <f>VLOOKUP(invulblad!O73,zuurstofverzadiging!$M:$O,3,FALSE)</f>
        <v>9.021808</v>
      </c>
      <c r="K5" s="160">
        <f>VLOOKUP(invulblad!P73,zuurstofverzadiging!$M:$O,3,FALSE)</f>
        <v>9.021808</v>
      </c>
      <c r="L5" s="160">
        <f>VLOOKUP(invulblad!Q73,zuurstofverzadiging!$M:$O,3,FALSE)</f>
        <v>9.021808</v>
      </c>
      <c r="M5" s="160">
        <f>VLOOKUP(invulblad!R73,zuurstofverzadiging!$M:$O,3,FALSE)</f>
        <v>9.021808</v>
      </c>
      <c r="N5" s="160">
        <f>VLOOKUP(invulblad!S73,zuurstofverzadiging!$M:$O,3,FALSE)</f>
        <v>9.021808</v>
      </c>
      <c r="O5" s="160">
        <f>VLOOKUP(invulblad!T73,zuurstofverzadiging!$M:$O,3,FALSE)</f>
        <v>9.021808</v>
      </c>
      <c r="P5" s="160">
        <f>VLOOKUP(invulblad!U73,zuurstofverzadiging!$M:$O,3,FALSE)</f>
        <v>9.021808</v>
      </c>
      <c r="Q5" s="160">
        <f>VLOOKUP(invulblad!V73,zuurstofverzadiging!$M:$O,3,FALSE)</f>
        <v>9.021808</v>
      </c>
    </row>
    <row r="6" spans="2:17" x14ac:dyDescent="0.2">
      <c r="B6" s="157" t="s">
        <v>321</v>
      </c>
      <c r="C6" s="158" t="s">
        <v>323</v>
      </c>
      <c r="D6" s="158" t="s">
        <v>295</v>
      </c>
      <c r="E6" s="158" t="s">
        <v>322</v>
      </c>
      <c r="F6" s="159">
        <f>IF(invulblad!K75="",1,invulblad!K75)</f>
        <v>2</v>
      </c>
      <c r="G6" s="159">
        <f>IF(invulblad!L75="",1,invulblad!L75)</f>
        <v>1</v>
      </c>
      <c r="H6" s="159">
        <f>IF(invulblad!M75="",1,invulblad!M75)</f>
        <v>1</v>
      </c>
      <c r="I6" s="159">
        <f>IF(invulblad!N75="",1,invulblad!N75)</f>
        <v>1</v>
      </c>
      <c r="J6" s="159">
        <f>IF(invulblad!O75="",1,invulblad!O75)</f>
        <v>1</v>
      </c>
      <c r="K6" s="159">
        <f>IF(invulblad!P75="",1,invulblad!P75)</f>
        <v>1</v>
      </c>
      <c r="L6" s="159">
        <f>IF(invulblad!Q75="",1,invulblad!Q75)</f>
        <v>1</v>
      </c>
      <c r="M6" s="159">
        <f>IF(invulblad!R75="",1,invulblad!R75)</f>
        <v>1</v>
      </c>
      <c r="N6" s="159">
        <f>IF(invulblad!S75="",1,invulblad!S75)</f>
        <v>1</v>
      </c>
      <c r="O6" s="159">
        <f>IF(invulblad!T75="",1,invulblad!T75)</f>
        <v>1</v>
      </c>
      <c r="P6" s="159">
        <f>IF(invulblad!U75="",1,invulblad!U75)</f>
        <v>1</v>
      </c>
      <c r="Q6" s="159">
        <f>IF(invulblad!V75="",1,invulblad!V75)</f>
        <v>1</v>
      </c>
    </row>
    <row r="7" spans="2:17" ht="14.25" x14ac:dyDescent="0.25">
      <c r="B7" s="748" t="s">
        <v>117</v>
      </c>
      <c r="C7" s="749" t="s">
        <v>147</v>
      </c>
      <c r="D7" s="750" t="s">
        <v>100</v>
      </c>
      <c r="E7" s="454" t="s">
        <v>304</v>
      </c>
      <c r="F7" s="494">
        <f>$C$48^(F3-20)*IF(F22&lt;(3.93/5.32*F12^0.35)^6,3.93*(F22^0.5/F12^0.5),5.32*(F22^0.67/F12^0.85))</f>
        <v>0.10458223486752348</v>
      </c>
      <c r="G7" s="494" t="e">
        <f t="shared" ref="G7:Q7" si="1">$C$48^(G3-20)*IF(G22&lt;(3.93/5.32*G12^0.35)^6,3.93*(G22^0.5/G12^0.5),5.32*(G22^0.67/G12^0.85))</f>
        <v>#VALUE!</v>
      </c>
      <c r="H7" s="494" t="e">
        <f t="shared" si="1"/>
        <v>#VALUE!</v>
      </c>
      <c r="I7" s="494" t="e">
        <f t="shared" si="1"/>
        <v>#VALUE!</v>
      </c>
      <c r="J7" s="494" t="e">
        <f t="shared" si="1"/>
        <v>#VALUE!</v>
      </c>
      <c r="K7" s="494" t="e">
        <f t="shared" si="1"/>
        <v>#VALUE!</v>
      </c>
      <c r="L7" s="494" t="e">
        <f t="shared" si="1"/>
        <v>#VALUE!</v>
      </c>
      <c r="M7" s="494" t="e">
        <f t="shared" si="1"/>
        <v>#VALUE!</v>
      </c>
      <c r="N7" s="494" t="e">
        <f t="shared" si="1"/>
        <v>#VALUE!</v>
      </c>
      <c r="O7" s="494" t="e">
        <f t="shared" si="1"/>
        <v>#VALUE!</v>
      </c>
      <c r="P7" s="494" t="e">
        <f t="shared" si="1"/>
        <v>#VALUE!</v>
      </c>
      <c r="Q7" s="494" t="e">
        <f t="shared" si="1"/>
        <v>#VALUE!</v>
      </c>
    </row>
    <row r="8" spans="2:17" ht="12.75" customHeight="1" x14ac:dyDescent="0.25">
      <c r="B8" s="748"/>
      <c r="C8" s="749"/>
      <c r="D8" s="751"/>
      <c r="E8" s="158" t="s">
        <v>348</v>
      </c>
      <c r="F8" s="166">
        <f>VLOOKUP(F6,$A$37:$C$40,3,FALSE)</f>
        <v>0.2</v>
      </c>
      <c r="G8" s="166">
        <f t="shared" ref="G8:Q8" si="2">VLOOKUP(G6,$A$37:$C$40,3,FALSE)</f>
        <v>0.1</v>
      </c>
      <c r="H8" s="166">
        <f t="shared" si="2"/>
        <v>0.1</v>
      </c>
      <c r="I8" s="166">
        <f t="shared" si="2"/>
        <v>0.1</v>
      </c>
      <c r="J8" s="166">
        <f t="shared" si="2"/>
        <v>0.1</v>
      </c>
      <c r="K8" s="166">
        <f t="shared" si="2"/>
        <v>0.1</v>
      </c>
      <c r="L8" s="166">
        <f t="shared" si="2"/>
        <v>0.1</v>
      </c>
      <c r="M8" s="166">
        <f t="shared" si="2"/>
        <v>0.1</v>
      </c>
      <c r="N8" s="166">
        <f t="shared" si="2"/>
        <v>0.1</v>
      </c>
      <c r="O8" s="166">
        <f t="shared" si="2"/>
        <v>0.1</v>
      </c>
      <c r="P8" s="166">
        <f t="shared" si="2"/>
        <v>0.1</v>
      </c>
      <c r="Q8" s="166">
        <f t="shared" si="2"/>
        <v>0.1</v>
      </c>
    </row>
    <row r="9" spans="2:17" ht="14.25" x14ac:dyDescent="0.25">
      <c r="B9" s="748"/>
      <c r="C9" s="749"/>
      <c r="D9" s="751"/>
      <c r="E9" s="158" t="s">
        <v>349</v>
      </c>
      <c r="F9" s="166">
        <f>IF(F$7&lt;F$8,F$8,F$7)</f>
        <v>0.2</v>
      </c>
      <c r="G9" s="166" t="e">
        <f t="shared" ref="G9:Q9" si="3">IF(G$7&lt;G$8,G$8,G$7)</f>
        <v>#VALUE!</v>
      </c>
      <c r="H9" s="166" t="e">
        <f t="shared" si="3"/>
        <v>#VALUE!</v>
      </c>
      <c r="I9" s="166" t="e">
        <f t="shared" si="3"/>
        <v>#VALUE!</v>
      </c>
      <c r="J9" s="166" t="e">
        <f t="shared" si="3"/>
        <v>#VALUE!</v>
      </c>
      <c r="K9" s="166" t="e">
        <f t="shared" si="3"/>
        <v>#VALUE!</v>
      </c>
      <c r="L9" s="166" t="e">
        <f t="shared" si="3"/>
        <v>#VALUE!</v>
      </c>
      <c r="M9" s="166" t="e">
        <f t="shared" si="3"/>
        <v>#VALUE!</v>
      </c>
      <c r="N9" s="166" t="e">
        <f t="shared" si="3"/>
        <v>#VALUE!</v>
      </c>
      <c r="O9" s="166" t="e">
        <f t="shared" si="3"/>
        <v>#VALUE!</v>
      </c>
      <c r="P9" s="166" t="e">
        <f t="shared" si="3"/>
        <v>#VALUE!</v>
      </c>
      <c r="Q9" s="166" t="e">
        <f t="shared" si="3"/>
        <v>#VALUE!</v>
      </c>
    </row>
    <row r="10" spans="2:17" ht="14.25" x14ac:dyDescent="0.25">
      <c r="B10" s="748"/>
      <c r="C10" s="749"/>
      <c r="D10" s="752"/>
      <c r="E10" s="158" t="s">
        <v>454</v>
      </c>
      <c r="F10" s="166">
        <f>IF((1-invulblad!K74)*zuurstofberekening!F9&lt;0.05,0.05,(1-invulblad!K74)*zuurstofberekening!F9)</f>
        <v>0.16000000000000003</v>
      </c>
      <c r="G10" s="166" t="e">
        <f>IF((1-invulblad!L74)*zuurstofberekening!G9&lt;0.05,0.05,(1-invulblad!L74)*zuurstofberekening!G9)</f>
        <v>#VALUE!</v>
      </c>
      <c r="H10" s="166" t="e">
        <f>IF((1-invulblad!M74)*zuurstofberekening!H9&lt;0.05,0.05,(1-invulblad!M74)*zuurstofberekening!H9)</f>
        <v>#VALUE!</v>
      </c>
      <c r="I10" s="166" t="e">
        <f>IF((1-invulblad!N74)*zuurstofberekening!I9&lt;0.05,0.05,(1-invulblad!N74)*zuurstofberekening!I9)</f>
        <v>#VALUE!</v>
      </c>
      <c r="J10" s="166" t="e">
        <f>IF((1-invulblad!O74)*zuurstofberekening!J9&lt;0.05,0.05,(1-invulblad!O74)*zuurstofberekening!J9)</f>
        <v>#VALUE!</v>
      </c>
      <c r="K10" s="166" t="e">
        <f>IF((1-invulblad!P74)*zuurstofberekening!K9&lt;0.05,0.05,(1-invulblad!P74)*zuurstofberekening!K9)</f>
        <v>#VALUE!</v>
      </c>
      <c r="L10" s="166" t="e">
        <f>IF((1-invulblad!Q74)*zuurstofberekening!L9&lt;0.05,0.05,(1-invulblad!Q74)*zuurstofberekening!L9)</f>
        <v>#VALUE!</v>
      </c>
      <c r="M10" s="166" t="e">
        <f>IF((1-invulblad!R74)*zuurstofberekening!M9&lt;0.05,0.05,(1-invulblad!R74)*zuurstofberekening!M9)</f>
        <v>#VALUE!</v>
      </c>
      <c r="N10" s="166" t="e">
        <f>IF((1-invulblad!S74)*zuurstofberekening!N9&lt;0.05,0.05,(1-invulblad!S74)*zuurstofberekening!N9)</f>
        <v>#VALUE!</v>
      </c>
      <c r="O10" s="166" t="e">
        <f>IF((1-invulblad!T74)*zuurstofberekening!O9&lt;0.05,0.05,(1-invulblad!T74)*zuurstofberekening!O9)</f>
        <v>#VALUE!</v>
      </c>
      <c r="P10" s="166" t="e">
        <f>IF((1-invulblad!U74)*zuurstofberekening!P9&lt;0.05,0.05,(1-invulblad!U74)*zuurstofberekening!P9)</f>
        <v>#VALUE!</v>
      </c>
      <c r="Q10" s="166" t="e">
        <f>IF((1-invulblad!V74)*zuurstofberekening!Q9&lt;0.05,0.05,(1-invulblad!V74)*zuurstofberekening!Q9)</f>
        <v>#VALUE!</v>
      </c>
    </row>
    <row r="11" spans="2:17" x14ac:dyDescent="0.2">
      <c r="B11" s="259" t="s">
        <v>210</v>
      </c>
      <c r="C11" s="260" t="s">
        <v>211</v>
      </c>
      <c r="D11" s="261" t="s">
        <v>13</v>
      </c>
      <c r="E11" s="158" t="s">
        <v>289</v>
      </c>
      <c r="F11" s="159">
        <f>invulblad!K53</f>
        <v>8</v>
      </c>
      <c r="G11" s="159">
        <f>invulblad!L53</f>
        <v>0</v>
      </c>
      <c r="H11" s="159">
        <f>invulblad!M53</f>
        <v>0</v>
      </c>
      <c r="I11" s="159">
        <f>invulblad!N53</f>
        <v>0</v>
      </c>
      <c r="J11" s="159">
        <f>invulblad!O53</f>
        <v>0</v>
      </c>
      <c r="K11" s="159">
        <f>invulblad!P53</f>
        <v>0</v>
      </c>
      <c r="L11" s="159">
        <f>invulblad!Q53</f>
        <v>0</v>
      </c>
      <c r="M11" s="159">
        <f>invulblad!R53</f>
        <v>0</v>
      </c>
      <c r="N11" s="159">
        <f>invulblad!S53</f>
        <v>0</v>
      </c>
      <c r="O11" s="159">
        <f>invulblad!T53</f>
        <v>0</v>
      </c>
      <c r="P11" s="159">
        <f>invulblad!U53</f>
        <v>0</v>
      </c>
      <c r="Q11" s="159">
        <f>invulblad!V53</f>
        <v>0</v>
      </c>
    </row>
    <row r="12" spans="2:17" x14ac:dyDescent="0.2">
      <c r="B12" s="157" t="s">
        <v>101</v>
      </c>
      <c r="C12" s="158" t="s">
        <v>102</v>
      </c>
      <c r="D12" s="158" t="s">
        <v>13</v>
      </c>
      <c r="E12" s="158" t="s">
        <v>289</v>
      </c>
      <c r="F12" s="159">
        <f>invulblad!K52</f>
        <v>0.5</v>
      </c>
      <c r="G12" s="159">
        <f>invulblad!L52</f>
        <v>0</v>
      </c>
      <c r="H12" s="159">
        <f>invulblad!M52</f>
        <v>0</v>
      </c>
      <c r="I12" s="159">
        <f>invulblad!N52</f>
        <v>0</v>
      </c>
      <c r="J12" s="159">
        <f>invulblad!O52</f>
        <v>0</v>
      </c>
      <c r="K12" s="159">
        <f>invulblad!P52</f>
        <v>0</v>
      </c>
      <c r="L12" s="159">
        <f>invulblad!Q52</f>
        <v>0</v>
      </c>
      <c r="M12" s="159">
        <f>invulblad!R52</f>
        <v>0</v>
      </c>
      <c r="N12" s="159">
        <f>invulblad!S52</f>
        <v>0</v>
      </c>
      <c r="O12" s="159">
        <f>invulblad!T52</f>
        <v>0</v>
      </c>
      <c r="P12" s="159">
        <f>invulblad!U52</f>
        <v>0</v>
      </c>
      <c r="Q12" s="159">
        <f>invulblad!V52</f>
        <v>0</v>
      </c>
    </row>
    <row r="13" spans="2:17" ht="14.25" x14ac:dyDescent="0.25">
      <c r="B13" s="157" t="s">
        <v>359</v>
      </c>
      <c r="C13" s="158" t="s">
        <v>361</v>
      </c>
      <c r="D13" s="158" t="s">
        <v>295</v>
      </c>
      <c r="E13" s="158" t="s">
        <v>342</v>
      </c>
      <c r="F13" s="159">
        <f>IFERROR(SUMPRODUCT(invulblad!$G$12:$G$17,invulblad!K$12:K$17)/F28,0)</f>
        <v>0.97751710654936463</v>
      </c>
      <c r="G13" s="159">
        <f>IFERROR(SUMPRODUCT(invulblad!$G$12:$G$17,invulblad!L$12:L$17)/G28,0)</f>
        <v>0</v>
      </c>
      <c r="H13" s="159">
        <f>IFERROR(SUMPRODUCT(invulblad!$G$12:$G$17,invulblad!M$12:M$17)/H28,0)</f>
        <v>0</v>
      </c>
      <c r="I13" s="159">
        <f>IFERROR(SUMPRODUCT(invulblad!$G$12:$G$17,invulblad!N$12:N$17)/I28,0)</f>
        <v>0</v>
      </c>
      <c r="J13" s="159">
        <f>IFERROR(SUMPRODUCT(invulblad!$G$12:$G$17,invulblad!O$12:O$17)/J28,0)</f>
        <v>0</v>
      </c>
      <c r="K13" s="159">
        <f>IFERROR(SUMPRODUCT(invulblad!$G$12:$G$17,invulblad!P$12:P$17)/K28,0)</f>
        <v>0</v>
      </c>
      <c r="L13" s="159">
        <f>IFERROR(SUMPRODUCT(invulblad!$G$12:$G$17,invulblad!Q$12:Q$17)/L28,0)</f>
        <v>0</v>
      </c>
      <c r="M13" s="159">
        <f>IFERROR(SUMPRODUCT(invulblad!$G$12:$G$17,invulblad!R$12:R$17)/M28,0)</f>
        <v>0</v>
      </c>
      <c r="N13" s="159">
        <f>IFERROR(SUMPRODUCT(invulblad!$G$12:$G$17,invulblad!S$12:S$17)/N28,0)</f>
        <v>0</v>
      </c>
      <c r="O13" s="159">
        <f>IFERROR(SUMPRODUCT(invulblad!$G$12:$G$17,invulblad!T$12:T$17)/O28,0)</f>
        <v>0</v>
      </c>
      <c r="P13" s="159">
        <f>IFERROR(SUMPRODUCT(invulblad!$G$12:$G$17,invulblad!U$12:U$17)/P28,0)</f>
        <v>0</v>
      </c>
      <c r="Q13" s="159">
        <f>IFERROR(SUMPRODUCT(invulblad!$G$12:$G$17,invulblad!V$12:V$17)/Q28,0)</f>
        <v>0</v>
      </c>
    </row>
    <row r="14" spans="2:17" ht="14.25" x14ac:dyDescent="0.25">
      <c r="B14" s="157" t="s">
        <v>360</v>
      </c>
      <c r="C14" s="158" t="s">
        <v>362</v>
      </c>
      <c r="D14" s="158" t="s">
        <v>295</v>
      </c>
      <c r="E14" s="158" t="s">
        <v>342</v>
      </c>
      <c r="F14" s="159">
        <f>IFERROR(SUMPRODUCT(invulblad!$H$12:$H$17,invulblad!K$12:K$17)/F30,0)</f>
        <v>0.84210526315789469</v>
      </c>
      <c r="G14" s="159">
        <f>IFERROR(SUMPRODUCT(invulblad!$H$12:$H$17,invulblad!L$12:L$17)/G30,0)</f>
        <v>0</v>
      </c>
      <c r="H14" s="159">
        <f>IFERROR(SUMPRODUCT(invulblad!$H$12:$H$17,invulblad!M$12:M$17)/H30,0)</f>
        <v>0</v>
      </c>
      <c r="I14" s="159">
        <f>IFERROR(SUMPRODUCT(invulblad!$H$12:$H$17,invulblad!N$12:N$17)/I30,0)</f>
        <v>0</v>
      </c>
      <c r="J14" s="159">
        <f>IFERROR(SUMPRODUCT(invulblad!$H$12:$H$17,invulblad!O$12:O$17)/J30,0)</f>
        <v>0</v>
      </c>
      <c r="K14" s="159">
        <f>IFERROR(SUMPRODUCT(invulblad!$H$12:$H$17,invulblad!P$12:P$17)/K30,0)</f>
        <v>0</v>
      </c>
      <c r="L14" s="159">
        <f>IFERROR(SUMPRODUCT(invulblad!$H$12:$H$17,invulblad!Q$12:Q$17)/L30,0)</f>
        <v>0</v>
      </c>
      <c r="M14" s="159">
        <f>IFERROR(SUMPRODUCT(invulblad!$H$12:$H$17,invulblad!R$12:R$17)/M30,0)</f>
        <v>0</v>
      </c>
      <c r="N14" s="159">
        <f>IFERROR(SUMPRODUCT(invulblad!$H$12:$H$17,invulblad!S$12:S$17)/N30,0)</f>
        <v>0</v>
      </c>
      <c r="O14" s="159">
        <f>IFERROR(SUMPRODUCT(invulblad!$H$12:$H$17,invulblad!T$12:T$17)/O30,0)</f>
        <v>0</v>
      </c>
      <c r="P14" s="159">
        <f>IFERROR(SUMPRODUCT(invulblad!$H$12:$H$17,invulblad!U$12:U$17)/P30,0)</f>
        <v>0</v>
      </c>
      <c r="Q14" s="159">
        <f>IFERROR(SUMPRODUCT(invulblad!$H$12:$H$17,invulblad!V$12:V$17)/Q30,0)</f>
        <v>0</v>
      </c>
    </row>
    <row r="15" spans="2:17" ht="15.75" x14ac:dyDescent="0.25">
      <c r="B15" s="157" t="s">
        <v>343</v>
      </c>
      <c r="C15" s="158" t="s">
        <v>344</v>
      </c>
      <c r="D15" s="158" t="s">
        <v>103</v>
      </c>
      <c r="E15" s="158" t="s">
        <v>345</v>
      </c>
      <c r="F15" s="159">
        <f>(F13*$C$43+(1-F13)*$C$44)</f>
        <v>0.5910068426197459</v>
      </c>
      <c r="G15" s="159">
        <f t="shared" ref="G15:Q15" si="4">(G13*$C$43+(1-G13)*$C$44)</f>
        <v>0.2</v>
      </c>
      <c r="H15" s="159">
        <f t="shared" si="4"/>
        <v>0.2</v>
      </c>
      <c r="I15" s="159">
        <f t="shared" si="4"/>
        <v>0.2</v>
      </c>
      <c r="J15" s="159">
        <f t="shared" si="4"/>
        <v>0.2</v>
      </c>
      <c r="K15" s="159">
        <f t="shared" si="4"/>
        <v>0.2</v>
      </c>
      <c r="L15" s="159">
        <f t="shared" si="4"/>
        <v>0.2</v>
      </c>
      <c r="M15" s="159">
        <f t="shared" si="4"/>
        <v>0.2</v>
      </c>
      <c r="N15" s="159">
        <f t="shared" si="4"/>
        <v>0.2</v>
      </c>
      <c r="O15" s="159">
        <f t="shared" si="4"/>
        <v>0.2</v>
      </c>
      <c r="P15" s="159">
        <f t="shared" si="4"/>
        <v>0.2</v>
      </c>
      <c r="Q15" s="159">
        <f t="shared" si="4"/>
        <v>0.2</v>
      </c>
    </row>
    <row r="16" spans="2:17" ht="14.25" x14ac:dyDescent="0.25">
      <c r="B16" s="157" t="s">
        <v>291</v>
      </c>
      <c r="C16" s="158" t="s">
        <v>346</v>
      </c>
      <c r="D16" s="158" t="s">
        <v>103</v>
      </c>
      <c r="E16" s="158" t="s">
        <v>338</v>
      </c>
      <c r="F16" s="166">
        <f>F15*F$4/($C$53+F$4)*$C$49^(F$3-20)</f>
        <v>0.49250570218312156</v>
      </c>
      <c r="G16" s="166">
        <f t="shared" ref="G16:Q16" si="5">G15*G$4/($C$53+G$4)*$C$49^(G$3-20)</f>
        <v>0.16666666666666666</v>
      </c>
      <c r="H16" s="166">
        <f t="shared" si="5"/>
        <v>0.16666666666666666</v>
      </c>
      <c r="I16" s="166">
        <f t="shared" si="5"/>
        <v>0.16666666666666666</v>
      </c>
      <c r="J16" s="166">
        <f t="shared" si="5"/>
        <v>0.16666666666666666</v>
      </c>
      <c r="K16" s="166">
        <f t="shared" si="5"/>
        <v>0.16666666666666666</v>
      </c>
      <c r="L16" s="166">
        <f t="shared" si="5"/>
        <v>0.16666666666666666</v>
      </c>
      <c r="M16" s="166">
        <f t="shared" si="5"/>
        <v>0.16666666666666666</v>
      </c>
      <c r="N16" s="166">
        <f t="shared" si="5"/>
        <v>0.16666666666666666</v>
      </c>
      <c r="O16" s="166">
        <f t="shared" si="5"/>
        <v>0.16666666666666666</v>
      </c>
      <c r="P16" s="166">
        <f t="shared" si="5"/>
        <v>0.16666666666666666</v>
      </c>
      <c r="Q16" s="166">
        <f t="shared" si="5"/>
        <v>0.16666666666666666</v>
      </c>
    </row>
    <row r="17" spans="2:17" ht="14.25" x14ac:dyDescent="0.25">
      <c r="B17" s="157" t="s">
        <v>292</v>
      </c>
      <c r="C17" s="158" t="s">
        <v>347</v>
      </c>
      <c r="D17" s="158" t="s">
        <v>103</v>
      </c>
      <c r="E17" s="158" t="s">
        <v>338</v>
      </c>
      <c r="F17" s="166">
        <f>F$4/($C$54+F$4)*$C$45*$C$50^(F$3-20)</f>
        <v>0.14285714285714288</v>
      </c>
      <c r="G17" s="166">
        <f t="shared" ref="G17:Q17" si="6">G$4/($C$54+G$4)*$C$45*$C$50^(G$3-20)</f>
        <v>0.14285714285714288</v>
      </c>
      <c r="H17" s="166">
        <f t="shared" si="6"/>
        <v>0.14285714285714288</v>
      </c>
      <c r="I17" s="166">
        <f t="shared" si="6"/>
        <v>0.14285714285714288</v>
      </c>
      <c r="J17" s="166">
        <f t="shared" si="6"/>
        <v>0.14285714285714288</v>
      </c>
      <c r="K17" s="166">
        <f t="shared" si="6"/>
        <v>0.14285714285714288</v>
      </c>
      <c r="L17" s="166">
        <f t="shared" si="6"/>
        <v>0.14285714285714288</v>
      </c>
      <c r="M17" s="166">
        <f t="shared" si="6"/>
        <v>0.14285714285714288</v>
      </c>
      <c r="N17" s="166">
        <f t="shared" si="6"/>
        <v>0.14285714285714288</v>
      </c>
      <c r="O17" s="166">
        <f t="shared" si="6"/>
        <v>0.14285714285714288</v>
      </c>
      <c r="P17" s="166">
        <f t="shared" si="6"/>
        <v>0.14285714285714288</v>
      </c>
      <c r="Q17" s="166">
        <f t="shared" si="6"/>
        <v>0.14285714285714288</v>
      </c>
    </row>
    <row r="18" spans="2:17" ht="14.25" x14ac:dyDescent="0.25">
      <c r="B18" s="157" t="s">
        <v>132</v>
      </c>
      <c r="C18" s="158" t="s">
        <v>129</v>
      </c>
      <c r="D18" s="158" t="s">
        <v>105</v>
      </c>
      <c r="E18" s="158" t="s">
        <v>372</v>
      </c>
      <c r="F18" s="165">
        <f>F19+F21</f>
        <v>122.36986301369863</v>
      </c>
      <c r="G18" s="165" t="e">
        <f t="shared" ref="G18:Q18" si="7">G19+G21</f>
        <v>#VALUE!</v>
      </c>
      <c r="H18" s="165" t="e">
        <f t="shared" si="7"/>
        <v>#VALUE!</v>
      </c>
      <c r="I18" s="165" t="e">
        <f t="shared" si="7"/>
        <v>#VALUE!</v>
      </c>
      <c r="J18" s="165" t="e">
        <f t="shared" si="7"/>
        <v>#VALUE!</v>
      </c>
      <c r="K18" s="165" t="e">
        <f t="shared" si="7"/>
        <v>#VALUE!</v>
      </c>
      <c r="L18" s="165" t="e">
        <f t="shared" si="7"/>
        <v>#VALUE!</v>
      </c>
      <c r="M18" s="165" t="e">
        <f t="shared" si="7"/>
        <v>#VALUE!</v>
      </c>
      <c r="N18" s="165" t="e">
        <f t="shared" si="7"/>
        <v>#VALUE!</v>
      </c>
      <c r="O18" s="165" t="e">
        <f t="shared" si="7"/>
        <v>#VALUE!</v>
      </c>
      <c r="P18" s="165" t="e">
        <f t="shared" si="7"/>
        <v>#VALUE!</v>
      </c>
      <c r="Q18" s="165" t="e">
        <f t="shared" si="7"/>
        <v>#VALUE!</v>
      </c>
    </row>
    <row r="19" spans="2:17" ht="14.25" x14ac:dyDescent="0.25">
      <c r="B19" s="161" t="s">
        <v>150</v>
      </c>
      <c r="C19" s="162" t="s">
        <v>104</v>
      </c>
      <c r="D19" s="163" t="s">
        <v>105</v>
      </c>
      <c r="E19" s="163" t="s">
        <v>206</v>
      </c>
      <c r="F19" s="499">
        <f>invulblad!K67</f>
        <v>120</v>
      </c>
      <c r="G19" s="499" t="str">
        <f>invulblad!L67</f>
        <v/>
      </c>
      <c r="H19" s="499" t="str">
        <f>invulblad!M67</f>
        <v/>
      </c>
      <c r="I19" s="499" t="str">
        <f>invulblad!N67</f>
        <v/>
      </c>
      <c r="J19" s="499" t="str">
        <f>invulblad!O67</f>
        <v/>
      </c>
      <c r="K19" s="499" t="str">
        <f>invulblad!P67</f>
        <v/>
      </c>
      <c r="L19" s="499" t="str">
        <f>invulblad!Q67</f>
        <v/>
      </c>
      <c r="M19" s="499" t="str">
        <f>invulblad!R67</f>
        <v/>
      </c>
      <c r="N19" s="499" t="str">
        <f>invulblad!S67</f>
        <v/>
      </c>
      <c r="O19" s="499" t="str">
        <f>invulblad!T67</f>
        <v/>
      </c>
      <c r="P19" s="499" t="str">
        <f>invulblad!U67</f>
        <v/>
      </c>
      <c r="Q19" s="499" t="str">
        <f>invulblad!V67</f>
        <v/>
      </c>
    </row>
    <row r="20" spans="2:17" ht="14.25" x14ac:dyDescent="0.25">
      <c r="B20" s="161" t="s">
        <v>370</v>
      </c>
      <c r="C20" s="162" t="s">
        <v>368</v>
      </c>
      <c r="D20" s="163" t="s">
        <v>105</v>
      </c>
      <c r="E20" s="163" t="s">
        <v>381</v>
      </c>
      <c r="F20" s="499">
        <f>IFERROR(invulblad!K68,0)</f>
        <v>20</v>
      </c>
      <c r="G20" s="499">
        <f>IFERROR(invulblad!L68,0)</f>
        <v>0</v>
      </c>
      <c r="H20" s="499">
        <f>IFERROR(invulblad!M68,0)</f>
        <v>0</v>
      </c>
      <c r="I20" s="499">
        <f>IFERROR(invulblad!N68,0)</f>
        <v>0</v>
      </c>
      <c r="J20" s="499">
        <f>IFERROR(invulblad!O68,0)</f>
        <v>0</v>
      </c>
      <c r="K20" s="499">
        <f>IFERROR(invulblad!P68,0)</f>
        <v>0</v>
      </c>
      <c r="L20" s="499">
        <f>IFERROR(invulblad!Q68,0)</f>
        <v>0</v>
      </c>
      <c r="M20" s="499">
        <f>IFERROR(invulblad!R68,0)</f>
        <v>0</v>
      </c>
      <c r="N20" s="499">
        <f>IFERROR(invulblad!S68,0)</f>
        <v>0</v>
      </c>
      <c r="O20" s="499">
        <f>IFERROR(invulblad!T68,0)</f>
        <v>0</v>
      </c>
      <c r="P20" s="499">
        <f>IFERROR(invulblad!U68,0)</f>
        <v>0</v>
      </c>
      <c r="Q20" s="499">
        <f>IFERROR(invulblad!V68,0)</f>
        <v>0</v>
      </c>
    </row>
    <row r="21" spans="2:17" ht="14.25" x14ac:dyDescent="0.25">
      <c r="B21" s="161" t="s">
        <v>371</v>
      </c>
      <c r="C21" s="162" t="s">
        <v>369</v>
      </c>
      <c r="D21" s="163" t="s">
        <v>105</v>
      </c>
      <c r="E21" s="163" t="s">
        <v>382</v>
      </c>
      <c r="F21" s="499">
        <f>IFERROR(invulblad!K69,0)</f>
        <v>2.3698630136986303</v>
      </c>
      <c r="G21" s="499">
        <f>IFERROR(invulblad!L69,0)</f>
        <v>0</v>
      </c>
      <c r="H21" s="499">
        <f>IFERROR(invulblad!M69,0)</f>
        <v>0</v>
      </c>
      <c r="I21" s="499">
        <f>IFERROR(invulblad!N69,0)</f>
        <v>0</v>
      </c>
      <c r="J21" s="499">
        <f>IFERROR(invulblad!O69,0)</f>
        <v>0</v>
      </c>
      <c r="K21" s="499">
        <f>IFERROR(invulblad!P69,0)</f>
        <v>0</v>
      </c>
      <c r="L21" s="499">
        <f>IFERROR(invulblad!Q69,0)</f>
        <v>0</v>
      </c>
      <c r="M21" s="499">
        <f>IFERROR(invulblad!R69,0)</f>
        <v>0</v>
      </c>
      <c r="N21" s="499">
        <f>IFERROR(invulblad!S69,0)</f>
        <v>0</v>
      </c>
      <c r="O21" s="499">
        <f>IFERROR(invulblad!T69,0)</f>
        <v>0</v>
      </c>
      <c r="P21" s="499">
        <f>IFERROR(invulblad!U69,0)</f>
        <v>0</v>
      </c>
      <c r="Q21" s="499">
        <f>IFERROR(invulblad!V69,0)</f>
        <v>0</v>
      </c>
    </row>
    <row r="22" spans="2:17" x14ac:dyDescent="0.2">
      <c r="B22" s="157" t="s">
        <v>216</v>
      </c>
      <c r="C22" s="158" t="s">
        <v>208</v>
      </c>
      <c r="D22" s="158" t="s">
        <v>184</v>
      </c>
      <c r="E22" s="158" t="s">
        <v>209</v>
      </c>
      <c r="F22" s="537">
        <f>invulblad!K70</f>
        <v>3.5407946473871131E-4</v>
      </c>
      <c r="G22" s="269" t="str">
        <f>invulblad!L70</f>
        <v/>
      </c>
      <c r="H22" s="269" t="str">
        <f>invulblad!M70</f>
        <v/>
      </c>
      <c r="I22" s="269" t="str">
        <f>invulblad!N70</f>
        <v/>
      </c>
      <c r="J22" s="269" t="str">
        <f>invulblad!O70</f>
        <v/>
      </c>
      <c r="K22" s="269" t="str">
        <f>invulblad!P70</f>
        <v/>
      </c>
      <c r="L22" s="269" t="str">
        <f>invulblad!Q70</f>
        <v/>
      </c>
      <c r="M22" s="269" t="str">
        <f>invulblad!R70</f>
        <v/>
      </c>
      <c r="N22" s="269" t="str">
        <f>invulblad!S70</f>
        <v/>
      </c>
      <c r="O22" s="269" t="str">
        <f>invulblad!T70</f>
        <v/>
      </c>
      <c r="P22" s="269" t="str">
        <f>invulblad!U70</f>
        <v/>
      </c>
      <c r="Q22" s="269" t="str">
        <f>invulblad!V70</f>
        <v/>
      </c>
    </row>
    <row r="23" spans="2:17" ht="14.25" x14ac:dyDescent="0.25">
      <c r="B23" s="157" t="s">
        <v>131</v>
      </c>
      <c r="C23" s="158" t="s">
        <v>130</v>
      </c>
      <c r="D23" s="158" t="s">
        <v>98</v>
      </c>
      <c r="E23" s="158" t="s">
        <v>152</v>
      </c>
      <c r="F23" s="160">
        <f t="shared" ref="F23:Q23" si="8">(F19*F24+F21*F25)/(F19+F21)</f>
        <v>6.0040559135577505</v>
      </c>
      <c r="G23" s="160" t="e">
        <f t="shared" si="8"/>
        <v>#VALUE!</v>
      </c>
      <c r="H23" s="160" t="e">
        <f t="shared" si="8"/>
        <v>#VALUE!</v>
      </c>
      <c r="I23" s="160" t="e">
        <f t="shared" si="8"/>
        <v>#VALUE!</v>
      </c>
      <c r="J23" s="160" t="e">
        <f t="shared" si="8"/>
        <v>#VALUE!</v>
      </c>
      <c r="K23" s="160" t="e">
        <f t="shared" si="8"/>
        <v>#VALUE!</v>
      </c>
      <c r="L23" s="160" t="e">
        <f t="shared" si="8"/>
        <v>#VALUE!</v>
      </c>
      <c r="M23" s="160" t="e">
        <f t="shared" si="8"/>
        <v>#VALUE!</v>
      </c>
      <c r="N23" s="160" t="e">
        <f t="shared" si="8"/>
        <v>#VALUE!</v>
      </c>
      <c r="O23" s="160" t="e">
        <f t="shared" si="8"/>
        <v>#VALUE!</v>
      </c>
      <c r="P23" s="160" t="e">
        <f t="shared" si="8"/>
        <v>#VALUE!</v>
      </c>
      <c r="Q23" s="160" t="e">
        <f t="shared" si="8"/>
        <v>#VALUE!</v>
      </c>
    </row>
    <row r="24" spans="2:17" ht="14.25" x14ac:dyDescent="0.25">
      <c r="B24" s="161" t="s">
        <v>148</v>
      </c>
      <c r="C24" s="162" t="s">
        <v>106</v>
      </c>
      <c r="D24" s="163" t="s">
        <v>98</v>
      </c>
      <c r="E24" s="163" t="s">
        <v>151</v>
      </c>
      <c r="F24" s="164">
        <f>invulblad!K81</f>
        <v>6</v>
      </c>
      <c r="G24" s="164">
        <f>invulblad!L81</f>
        <v>6</v>
      </c>
      <c r="H24" s="164">
        <f>invulblad!M81</f>
        <v>6</v>
      </c>
      <c r="I24" s="164">
        <f>invulblad!N81</f>
        <v>6</v>
      </c>
      <c r="J24" s="164">
        <f>invulblad!O81</f>
        <v>6</v>
      </c>
      <c r="K24" s="164">
        <f>invulblad!P81</f>
        <v>6</v>
      </c>
      <c r="L24" s="164">
        <f>invulblad!Q81</f>
        <v>6</v>
      </c>
      <c r="M24" s="164">
        <f>invulblad!R81</f>
        <v>6</v>
      </c>
      <c r="N24" s="164">
        <f>invulblad!S81</f>
        <v>6</v>
      </c>
      <c r="O24" s="164">
        <f>invulblad!T81</f>
        <v>6</v>
      </c>
      <c r="P24" s="164">
        <f>invulblad!U81</f>
        <v>6</v>
      </c>
      <c r="Q24" s="164">
        <f>invulblad!V81</f>
        <v>6</v>
      </c>
    </row>
    <row r="25" spans="2:17" ht="14.25" x14ac:dyDescent="0.25">
      <c r="B25" s="161" t="s">
        <v>149</v>
      </c>
      <c r="C25" s="162" t="s">
        <v>207</v>
      </c>
      <c r="D25" s="163" t="s">
        <v>98</v>
      </c>
      <c r="E25" s="163" t="s">
        <v>464</v>
      </c>
      <c r="F25" s="498">
        <f>IFERROR((invulblad!K12/5*kentallen!$J30+invulblad!K14/5*kentallen!$J31+invulblad!K16/5*kentallen!$J32+invulblad!K13/365*kentallen!$J30+invulblad!K15/365*kentallen!$J31+invulblad!K17/365*kentallen!$J32+SUMPRODUCT(invulblad!K20:K21,kentallen!$J34:$J35)+0.5*SUMPRODUCT(invulblad!K22:K23,kentallen!$J36:$J37))/SUM(F20:F21),"geen berekening mogelijk")</f>
        <v>6.2094304960195963</v>
      </c>
      <c r="G25" s="498" t="str">
        <f>IFERROR((invulblad!L12/5*kentallen!$J30+invulblad!L14/5*kentallen!$J31+invulblad!L16/5*kentallen!$J32+invulblad!L13/365*kentallen!$J30+invulblad!L15/365*kentallen!$J31+invulblad!L17/365*kentallen!$J32+SUMPRODUCT(invulblad!L20:L21,kentallen!$J34:$J35)+0.5*SUMPRODUCT(invulblad!L22:L23,kentallen!$J36:$J37))/SUM(G20:G21),"geen berekening mogelijk")</f>
        <v>geen berekening mogelijk</v>
      </c>
      <c r="H25" s="498" t="str">
        <f>IFERROR((invulblad!M12/5*kentallen!$J30+invulblad!M14/5*kentallen!$J31+invulblad!M16/5*kentallen!$J32+invulblad!M13/365*kentallen!$J30+invulblad!M15/365*kentallen!$J31+invulblad!M17/365*kentallen!$J32+SUMPRODUCT(invulblad!M20:M21,kentallen!$J34:$J35)+0.5*SUMPRODUCT(invulblad!M22:M23,kentallen!$J36:$J37))/SUM(H20:H21),"geen berekening mogelijk")</f>
        <v>geen berekening mogelijk</v>
      </c>
      <c r="I25" s="498" t="str">
        <f>IFERROR((invulblad!N12/5*kentallen!$J30+invulblad!N14/5*kentallen!$J31+invulblad!N16/5*kentallen!$J32+invulblad!N13/365*kentallen!$J30+invulblad!N15/365*kentallen!$J31+invulblad!N17/365*kentallen!$J32+SUMPRODUCT(invulblad!N20:N21,kentallen!$J34:$J35)+0.5*SUMPRODUCT(invulblad!N22:N23,kentallen!$J36:$J37))/SUM(I20:I21),"geen berekening mogelijk")</f>
        <v>geen berekening mogelijk</v>
      </c>
      <c r="J25" s="498" t="str">
        <f>IFERROR((invulblad!O12/5*kentallen!$J30+invulblad!O14/5*kentallen!$J31+invulblad!O16/5*kentallen!$J32+invulblad!O13/365*kentallen!$J30+invulblad!O15/365*kentallen!$J31+invulblad!O17/365*kentallen!$J32+SUMPRODUCT(invulblad!O20:O21,kentallen!$J34:$J35)+0.5*SUMPRODUCT(invulblad!O22:O23,kentallen!$J36:$J37))/SUM(J20:J21),"geen berekening mogelijk")</f>
        <v>geen berekening mogelijk</v>
      </c>
      <c r="K25" s="498" t="str">
        <f>IFERROR((invulblad!P12/5*kentallen!$J30+invulblad!P14/5*kentallen!$J31+invulblad!P16/5*kentallen!$J32+invulblad!P13/365*kentallen!$J30+invulblad!P15/365*kentallen!$J31+invulblad!P17/365*kentallen!$J32+SUMPRODUCT(invulblad!P20:P21,kentallen!$J34:$J35)+0.5*SUMPRODUCT(invulblad!P22:P23,kentallen!$J36:$J37))/SUM(K20:K21),"geen berekening mogelijk")</f>
        <v>geen berekening mogelijk</v>
      </c>
      <c r="L25" s="498" t="str">
        <f>IFERROR((invulblad!Q12/5*kentallen!$J30+invulblad!Q14/5*kentallen!$J31+invulblad!Q16/5*kentallen!$J32+invulblad!Q13/365*kentallen!$J30+invulblad!Q15/365*kentallen!$J31+invulblad!Q17/365*kentallen!$J32+SUMPRODUCT(invulblad!Q20:Q21,kentallen!$J34:$J35)+0.5*SUMPRODUCT(invulblad!Q22:Q23,kentallen!$J36:$J37))/SUM(L20:L21),"geen berekening mogelijk")</f>
        <v>geen berekening mogelijk</v>
      </c>
      <c r="M25" s="498" t="str">
        <f>IFERROR((invulblad!R12/5*kentallen!$J30+invulblad!R14/5*kentallen!$J31+invulblad!R16/5*kentallen!$J32+invulblad!R13/365*kentallen!$J30+invulblad!R15/365*kentallen!$J31+invulblad!R17/365*kentallen!$J32+SUMPRODUCT(invulblad!R20:R21,kentallen!$J34:$J35)+0.5*SUMPRODUCT(invulblad!R22:R23,kentallen!$J36:$J37))/SUM(M20:M21),"geen berekening mogelijk")</f>
        <v>geen berekening mogelijk</v>
      </c>
      <c r="N25" s="498" t="str">
        <f>IFERROR((invulblad!S12/5*kentallen!$J30+invulblad!S14/5*kentallen!$J31+invulblad!S16/5*kentallen!$J32+invulblad!S13/365*kentallen!$J30+invulblad!S15/365*kentallen!$J31+invulblad!S17/365*kentallen!$J32+SUMPRODUCT(invulblad!S20:S21,kentallen!$J34:$J35)+0.5*SUMPRODUCT(invulblad!S22:S23,kentallen!$J36:$J37))/SUM(N20:N21),"geen berekening mogelijk")</f>
        <v>geen berekening mogelijk</v>
      </c>
      <c r="O25" s="498" t="str">
        <f>IFERROR((invulblad!T12/5*kentallen!$J30+invulblad!T14/5*kentallen!$J31+invulblad!T16/5*kentallen!$J32+invulblad!T13/365*kentallen!$J30+invulblad!T15/365*kentallen!$J31+invulblad!T17/365*kentallen!$J32+SUMPRODUCT(invulblad!T20:T21,kentallen!$J34:$J35)+0.5*SUMPRODUCT(invulblad!T22:T23,kentallen!$J36:$J37))/SUM(O20:O21),"geen berekening mogelijk")</f>
        <v>geen berekening mogelijk</v>
      </c>
      <c r="P25" s="498" t="str">
        <f>IFERROR((invulblad!U12/5*kentallen!$J30+invulblad!U14/5*kentallen!$J31+invulblad!U16/5*kentallen!$J32+invulblad!U13/365*kentallen!$J30+invulblad!U15/365*kentallen!$J31+invulblad!U17/365*kentallen!$J32+SUMPRODUCT(invulblad!U20:U21,kentallen!$J34:$J35)+0.5*SUMPRODUCT(invulblad!U22:U23,kentallen!$J36:$J37))/SUM(P20:P21),"geen berekening mogelijk")</f>
        <v>geen berekening mogelijk</v>
      </c>
      <c r="Q25" s="498" t="str">
        <f>IFERROR((invulblad!V12/5*kentallen!$J30+invulblad!V14/5*kentallen!$J31+invulblad!V16/5*kentallen!$J32+invulblad!V13/365*kentallen!$J30+invulblad!V15/365*kentallen!$J31+invulblad!V17/365*kentallen!$J32+SUMPRODUCT(invulblad!V20:V21,kentallen!$J34:$J35)+0.5*SUMPRODUCT(invulblad!V22:V23,kentallen!$J36:$J37))/SUM(Q20:Q21),"geen berekening mogelijk")</f>
        <v>geen berekening mogelijk</v>
      </c>
    </row>
    <row r="26" spans="2:17" x14ac:dyDescent="0.2">
      <c r="B26" s="157" t="s">
        <v>107</v>
      </c>
      <c r="C26" s="158" t="s">
        <v>108</v>
      </c>
      <c r="D26" s="158" t="s">
        <v>109</v>
      </c>
      <c r="E26" s="158" t="s">
        <v>153</v>
      </c>
      <c r="F26" s="165">
        <f>invulblad!K60</f>
        <v>800</v>
      </c>
      <c r="G26" s="165" t="str">
        <f>invulblad!L60</f>
        <v/>
      </c>
      <c r="H26" s="165" t="str">
        <f>invulblad!M60</f>
        <v/>
      </c>
      <c r="I26" s="165" t="str">
        <f>invulblad!N60</f>
        <v/>
      </c>
      <c r="J26" s="165" t="str">
        <f>invulblad!O60</f>
        <v/>
      </c>
      <c r="K26" s="165" t="str">
        <f>invulblad!P60</f>
        <v/>
      </c>
      <c r="L26" s="165" t="str">
        <f>invulblad!Q60</f>
        <v/>
      </c>
      <c r="M26" s="165" t="str">
        <f>invulblad!R60</f>
        <v/>
      </c>
      <c r="N26" s="165" t="str">
        <f>invulblad!S60</f>
        <v/>
      </c>
      <c r="O26" s="165" t="str">
        <f>invulblad!T60</f>
        <v/>
      </c>
      <c r="P26" s="165" t="str">
        <f>invulblad!U60</f>
        <v/>
      </c>
      <c r="Q26" s="165" t="str">
        <f>invulblad!V60</f>
        <v/>
      </c>
    </row>
    <row r="27" spans="2:17" x14ac:dyDescent="0.2">
      <c r="B27" s="157" t="s">
        <v>110</v>
      </c>
      <c r="C27" s="158" t="s">
        <v>111</v>
      </c>
      <c r="D27" s="158" t="s">
        <v>112</v>
      </c>
      <c r="E27" s="158" t="s">
        <v>363</v>
      </c>
      <c r="F27" s="166">
        <f>invulblad!K49</f>
        <v>0.43505136986301368</v>
      </c>
      <c r="G27" s="166">
        <f>invulblad!L49</f>
        <v>0</v>
      </c>
      <c r="H27" s="166">
        <f>invulblad!M49</f>
        <v>0</v>
      </c>
      <c r="I27" s="166">
        <f>invulblad!N49</f>
        <v>0</v>
      </c>
      <c r="J27" s="166">
        <f>invulblad!O49</f>
        <v>0</v>
      </c>
      <c r="K27" s="166">
        <f>invulblad!P49</f>
        <v>0</v>
      </c>
      <c r="L27" s="166">
        <f>invulblad!Q49</f>
        <v>0</v>
      </c>
      <c r="M27" s="166">
        <f>invulblad!R49</f>
        <v>0</v>
      </c>
      <c r="N27" s="166">
        <f>invulblad!S49</f>
        <v>0</v>
      </c>
      <c r="O27" s="166">
        <f>invulblad!T49</f>
        <v>0</v>
      </c>
      <c r="P27" s="166">
        <f>invulblad!U49</f>
        <v>0</v>
      </c>
      <c r="Q27" s="166">
        <f>invulblad!V49</f>
        <v>0</v>
      </c>
    </row>
    <row r="28" spans="2:17" ht="14.25" x14ac:dyDescent="0.25">
      <c r="B28" s="157" t="s">
        <v>118</v>
      </c>
      <c r="C28" s="158" t="s">
        <v>354</v>
      </c>
      <c r="D28" s="158" t="s">
        <v>113</v>
      </c>
      <c r="E28" s="158" t="s">
        <v>461</v>
      </c>
      <c r="F28" s="165">
        <f>invulblad!K42*invulblad!K59</f>
        <v>1023</v>
      </c>
      <c r="G28" s="165" t="e">
        <f>invulblad!L42*invulblad!L59</f>
        <v>#VALUE!</v>
      </c>
      <c r="H28" s="165" t="e">
        <f>invulblad!M42*invulblad!M59</f>
        <v>#VALUE!</v>
      </c>
      <c r="I28" s="165" t="e">
        <f>invulblad!N42*invulblad!N59</f>
        <v>#VALUE!</v>
      </c>
      <c r="J28" s="165" t="e">
        <f>invulblad!O42*invulblad!O59</f>
        <v>#VALUE!</v>
      </c>
      <c r="K28" s="165" t="e">
        <f>invulblad!P42*invulblad!P59</f>
        <v>#VALUE!</v>
      </c>
      <c r="L28" s="165" t="e">
        <f>invulblad!Q42*invulblad!Q59</f>
        <v>#VALUE!</v>
      </c>
      <c r="M28" s="165" t="e">
        <f>invulblad!R42*invulblad!R59</f>
        <v>#VALUE!</v>
      </c>
      <c r="N28" s="165" t="e">
        <f>invulblad!S42*invulblad!S59</f>
        <v>#VALUE!</v>
      </c>
      <c r="O28" s="165" t="e">
        <f>invulblad!T42*invulblad!T59</f>
        <v>#VALUE!</v>
      </c>
      <c r="P28" s="165" t="e">
        <f>invulblad!U42*invulblad!U59</f>
        <v>#VALUE!</v>
      </c>
      <c r="Q28" s="165" t="e">
        <f>invulblad!V42*invulblad!V59</f>
        <v>#VALUE!</v>
      </c>
    </row>
    <row r="29" spans="2:17" ht="14.25" x14ac:dyDescent="0.25">
      <c r="B29" s="157" t="s">
        <v>352</v>
      </c>
      <c r="C29" s="158" t="s">
        <v>353</v>
      </c>
      <c r="D29" s="158" t="s">
        <v>113</v>
      </c>
      <c r="E29" s="158" t="s">
        <v>462</v>
      </c>
      <c r="F29" s="165">
        <f>(1-F13)*F28</f>
        <v>22.999999999999979</v>
      </c>
      <c r="G29" s="165" t="e">
        <f t="shared" ref="G29:Q29" si="9">(1-G13)*G28</f>
        <v>#VALUE!</v>
      </c>
      <c r="H29" s="165" t="e">
        <f t="shared" si="9"/>
        <v>#VALUE!</v>
      </c>
      <c r="I29" s="165" t="e">
        <f t="shared" si="9"/>
        <v>#VALUE!</v>
      </c>
      <c r="J29" s="165" t="e">
        <f t="shared" si="9"/>
        <v>#VALUE!</v>
      </c>
      <c r="K29" s="165" t="e">
        <f t="shared" si="9"/>
        <v>#VALUE!</v>
      </c>
      <c r="L29" s="165" t="e">
        <f t="shared" si="9"/>
        <v>#VALUE!</v>
      </c>
      <c r="M29" s="165" t="e">
        <f t="shared" si="9"/>
        <v>#VALUE!</v>
      </c>
      <c r="N29" s="165" t="e">
        <f t="shared" si="9"/>
        <v>#VALUE!</v>
      </c>
      <c r="O29" s="165" t="e">
        <f t="shared" si="9"/>
        <v>#VALUE!</v>
      </c>
      <c r="P29" s="165" t="e">
        <f t="shared" si="9"/>
        <v>#VALUE!</v>
      </c>
      <c r="Q29" s="165" t="e">
        <f t="shared" si="9"/>
        <v>#VALUE!</v>
      </c>
    </row>
    <row r="30" spans="2:17" ht="14.25" x14ac:dyDescent="0.25">
      <c r="B30" s="157" t="s">
        <v>164</v>
      </c>
      <c r="C30" s="158" t="s">
        <v>355</v>
      </c>
      <c r="D30" s="158" t="s">
        <v>165</v>
      </c>
      <c r="E30" s="158" t="s">
        <v>166</v>
      </c>
      <c r="F30" s="165">
        <f>invulblad!K43*invulblad!K59</f>
        <v>95</v>
      </c>
      <c r="G30" s="165" t="e">
        <f>invulblad!L43*invulblad!L59</f>
        <v>#VALUE!</v>
      </c>
      <c r="H30" s="165" t="e">
        <f>invulblad!M43*invulblad!M59</f>
        <v>#VALUE!</v>
      </c>
      <c r="I30" s="165" t="e">
        <f>invulblad!N43*invulblad!N59</f>
        <v>#VALUE!</v>
      </c>
      <c r="J30" s="165" t="e">
        <f>invulblad!O43*invulblad!O59</f>
        <v>#VALUE!</v>
      </c>
      <c r="K30" s="165" t="e">
        <f>invulblad!P43*invulblad!P59</f>
        <v>#VALUE!</v>
      </c>
      <c r="L30" s="165" t="e">
        <f>invulblad!Q43*invulblad!Q59</f>
        <v>#VALUE!</v>
      </c>
      <c r="M30" s="165" t="e">
        <f>invulblad!R43*invulblad!R59</f>
        <v>#VALUE!</v>
      </c>
      <c r="N30" s="165" t="e">
        <f>invulblad!S43*invulblad!S59</f>
        <v>#VALUE!</v>
      </c>
      <c r="O30" s="165" t="e">
        <f>invulblad!T43*invulblad!T59</f>
        <v>#VALUE!</v>
      </c>
      <c r="P30" s="165" t="e">
        <f>invulblad!U43*invulblad!U59</f>
        <v>#VALUE!</v>
      </c>
      <c r="Q30" s="165" t="e">
        <f>invulblad!V43*invulblad!V59</f>
        <v>#VALUE!</v>
      </c>
    </row>
    <row r="31" spans="2:17" ht="14.25" x14ac:dyDescent="0.25">
      <c r="B31" s="157" t="s">
        <v>358</v>
      </c>
      <c r="C31" s="158" t="s">
        <v>356</v>
      </c>
      <c r="D31" s="158" t="s">
        <v>165</v>
      </c>
      <c r="E31" s="158" t="s">
        <v>357</v>
      </c>
      <c r="F31" s="165">
        <f>(1-F14)*F30</f>
        <v>15.000000000000004</v>
      </c>
      <c r="G31" s="165" t="e">
        <f t="shared" ref="G31:Q31" si="10">(1-G14)*G30</f>
        <v>#VALUE!</v>
      </c>
      <c r="H31" s="165" t="e">
        <f t="shared" si="10"/>
        <v>#VALUE!</v>
      </c>
      <c r="I31" s="165" t="e">
        <f t="shared" si="10"/>
        <v>#VALUE!</v>
      </c>
      <c r="J31" s="165" t="e">
        <f t="shared" si="10"/>
        <v>#VALUE!</v>
      </c>
      <c r="K31" s="165" t="e">
        <f t="shared" si="10"/>
        <v>#VALUE!</v>
      </c>
      <c r="L31" s="165" t="e">
        <f t="shared" si="10"/>
        <v>#VALUE!</v>
      </c>
      <c r="M31" s="165" t="e">
        <f t="shared" si="10"/>
        <v>#VALUE!</v>
      </c>
      <c r="N31" s="165" t="e">
        <f t="shared" si="10"/>
        <v>#VALUE!</v>
      </c>
      <c r="O31" s="165" t="e">
        <f t="shared" si="10"/>
        <v>#VALUE!</v>
      </c>
      <c r="P31" s="165" t="e">
        <f t="shared" si="10"/>
        <v>#VALUE!</v>
      </c>
      <c r="Q31" s="165" t="e">
        <f t="shared" si="10"/>
        <v>#VALUE!</v>
      </c>
    </row>
    <row r="32" spans="2:17" ht="14.25" x14ac:dyDescent="0.25">
      <c r="B32" s="157" t="s">
        <v>119</v>
      </c>
      <c r="C32" s="158" t="s">
        <v>114</v>
      </c>
      <c r="D32" s="158" t="s">
        <v>98</v>
      </c>
      <c r="E32" s="158" t="s">
        <v>154</v>
      </c>
      <c r="F32" s="159">
        <f>invulblad!K83</f>
        <v>2</v>
      </c>
      <c r="G32" s="159">
        <f>invulblad!L83</f>
        <v>2</v>
      </c>
      <c r="H32" s="159">
        <f>invulblad!M83</f>
        <v>2</v>
      </c>
      <c r="I32" s="159">
        <f>invulblad!N83</f>
        <v>2</v>
      </c>
      <c r="J32" s="159">
        <f>invulblad!O83</f>
        <v>2</v>
      </c>
      <c r="K32" s="159">
        <f>invulblad!P83</f>
        <v>2</v>
      </c>
      <c r="L32" s="159">
        <f>invulblad!Q83</f>
        <v>2</v>
      </c>
      <c r="M32" s="159">
        <f>invulblad!R83</f>
        <v>2</v>
      </c>
      <c r="N32" s="159">
        <f>invulblad!S83</f>
        <v>2</v>
      </c>
      <c r="O32" s="159">
        <f>invulblad!T83</f>
        <v>2</v>
      </c>
      <c r="P32" s="159">
        <f>invulblad!U83</f>
        <v>2</v>
      </c>
      <c r="Q32" s="159">
        <f>invulblad!V83</f>
        <v>2</v>
      </c>
    </row>
    <row r="33" spans="1:17" ht="14.25" x14ac:dyDescent="0.25">
      <c r="B33" s="157" t="s">
        <v>167</v>
      </c>
      <c r="C33" s="158" t="s">
        <v>168</v>
      </c>
      <c r="D33" s="158" t="s">
        <v>169</v>
      </c>
      <c r="E33" s="158" t="s">
        <v>170</v>
      </c>
      <c r="F33" s="166">
        <f>invulblad!K82</f>
        <v>0.2</v>
      </c>
      <c r="G33" s="166">
        <f>invulblad!L82</f>
        <v>0.2</v>
      </c>
      <c r="H33" s="166">
        <f>invulblad!M82</f>
        <v>0.2</v>
      </c>
      <c r="I33" s="166">
        <f>invulblad!N82</f>
        <v>0.2</v>
      </c>
      <c r="J33" s="166">
        <f>invulblad!O82</f>
        <v>0.2</v>
      </c>
      <c r="K33" s="166">
        <f>invulblad!P82</f>
        <v>0.2</v>
      </c>
      <c r="L33" s="166">
        <f>invulblad!Q82</f>
        <v>0.2</v>
      </c>
      <c r="M33" s="166">
        <f>invulblad!R82</f>
        <v>0.2</v>
      </c>
      <c r="N33" s="166">
        <f>invulblad!S82</f>
        <v>0.2</v>
      </c>
      <c r="O33" s="166">
        <f>invulblad!T82</f>
        <v>0.2</v>
      </c>
      <c r="P33" s="166">
        <f>invulblad!U82</f>
        <v>0.2</v>
      </c>
      <c r="Q33" s="166">
        <f>invulblad!V82</f>
        <v>0.2</v>
      </c>
    </row>
    <row r="34" spans="1:17" x14ac:dyDescent="0.2">
      <c r="B34" s="167"/>
      <c r="F34" s="168"/>
    </row>
    <row r="35" spans="1:17" x14ac:dyDescent="0.2">
      <c r="B35" s="167"/>
      <c r="D35" s="183"/>
      <c r="F35" s="174">
        <f>(invulblad!K12/5*kentallen!$J30+invulblad!K14/5*kentallen!$J31+invulblad!K16/5*kentallen!$J32+invulblad!K13/365*kentallen!$J30+invulblad!K15/365*kentallen!$J31+invulblad!K17/365*kentallen!$J32+SUMPRODUCT(invulblad!K20:K35,kentallen!$J34:J49))/SUM(F20:F21)</f>
        <v>6.2094304960195963</v>
      </c>
      <c r="G35" s="156">
        <f>20*6.5/22</f>
        <v>5.9090909090909092</v>
      </c>
    </row>
    <row r="36" spans="1:17" x14ac:dyDescent="0.2">
      <c r="A36" s="458" t="s">
        <v>199</v>
      </c>
      <c r="B36" s="153" t="s">
        <v>134</v>
      </c>
      <c r="C36" s="458" t="s">
        <v>300</v>
      </c>
      <c r="D36" s="154" t="s">
        <v>6</v>
      </c>
      <c r="E36" s="154" t="s">
        <v>286</v>
      </c>
    </row>
    <row r="37" spans="1:17" ht="14.25" x14ac:dyDescent="0.25">
      <c r="A37" s="159">
        <v>1</v>
      </c>
      <c r="B37" s="158" t="s">
        <v>301</v>
      </c>
      <c r="C37" s="159">
        <v>0.1</v>
      </c>
      <c r="D37" s="158" t="s">
        <v>215</v>
      </c>
      <c r="E37" s="158" t="s">
        <v>299</v>
      </c>
      <c r="F37" s="208"/>
      <c r="G37" s="208"/>
      <c r="H37" s="208"/>
      <c r="I37" s="208"/>
      <c r="J37" s="208"/>
      <c r="K37" s="208"/>
      <c r="L37" s="208"/>
      <c r="M37" s="208"/>
      <c r="N37" s="208"/>
      <c r="O37" s="208"/>
      <c r="P37" s="208"/>
      <c r="Q37" s="208"/>
    </row>
    <row r="38" spans="1:17" x14ac:dyDescent="0.2">
      <c r="A38" s="159">
        <v>2</v>
      </c>
      <c r="B38" s="158" t="s">
        <v>302</v>
      </c>
      <c r="C38" s="159">
        <v>0.2</v>
      </c>
      <c r="D38" s="158" t="s">
        <v>215</v>
      </c>
      <c r="E38" s="158" t="s">
        <v>298</v>
      </c>
      <c r="F38" s="208"/>
      <c r="G38" s="208"/>
      <c r="H38" s="208"/>
      <c r="I38" s="208"/>
      <c r="J38" s="208"/>
      <c r="K38" s="208"/>
      <c r="L38" s="208"/>
      <c r="M38" s="208"/>
      <c r="N38" s="208"/>
      <c r="O38" s="208"/>
      <c r="P38" s="208"/>
      <c r="Q38" s="208"/>
    </row>
    <row r="39" spans="1:17" x14ac:dyDescent="0.2">
      <c r="A39" s="159">
        <v>3</v>
      </c>
      <c r="B39" s="158" t="s">
        <v>303</v>
      </c>
      <c r="C39" s="159">
        <v>0.3</v>
      </c>
      <c r="D39" s="158" t="s">
        <v>215</v>
      </c>
      <c r="E39" s="158" t="s">
        <v>339</v>
      </c>
      <c r="F39" s="208"/>
      <c r="G39" s="208"/>
      <c r="H39" s="208"/>
      <c r="I39" s="208"/>
      <c r="J39" s="208"/>
      <c r="K39" s="208"/>
      <c r="L39" s="208"/>
      <c r="M39" s="208"/>
      <c r="N39" s="208"/>
      <c r="O39" s="208"/>
      <c r="P39" s="208"/>
      <c r="Q39" s="208"/>
    </row>
    <row r="40" spans="1:17" x14ac:dyDescent="0.2">
      <c r="A40" s="159">
        <v>4</v>
      </c>
      <c r="B40" s="158" t="s">
        <v>297</v>
      </c>
      <c r="C40" s="159">
        <v>0.6</v>
      </c>
      <c r="D40" s="158" t="s">
        <v>215</v>
      </c>
      <c r="E40" s="158" t="s">
        <v>294</v>
      </c>
      <c r="F40" s="208"/>
      <c r="G40" s="208"/>
      <c r="H40" s="208"/>
      <c r="I40" s="208"/>
      <c r="J40" s="208"/>
      <c r="K40" s="208"/>
      <c r="L40" s="208"/>
      <c r="M40" s="208"/>
      <c r="N40" s="208"/>
      <c r="O40" s="208"/>
      <c r="P40" s="208"/>
      <c r="Q40" s="208"/>
    </row>
    <row r="41" spans="1:17" s="208" customFormat="1" x14ac:dyDescent="0.2">
      <c r="A41" s="177"/>
      <c r="C41" s="177"/>
    </row>
    <row r="42" spans="1:17" ht="15" x14ac:dyDescent="0.2">
      <c r="B42" s="154" t="s">
        <v>97</v>
      </c>
      <c r="C42" s="458" t="s">
        <v>328</v>
      </c>
      <c r="D42" s="154" t="s">
        <v>6</v>
      </c>
      <c r="E42" s="154" t="s">
        <v>286</v>
      </c>
      <c r="F42" s="457"/>
      <c r="G42" s="208"/>
      <c r="H42" s="208"/>
      <c r="I42" s="208"/>
      <c r="J42" s="208"/>
    </row>
    <row r="43" spans="1:17" ht="14.25" x14ac:dyDescent="0.25">
      <c r="B43" s="157" t="s">
        <v>340</v>
      </c>
      <c r="C43" s="159">
        <v>0.6</v>
      </c>
      <c r="D43" s="158" t="s">
        <v>133</v>
      </c>
      <c r="E43" s="753" t="s">
        <v>350</v>
      </c>
      <c r="F43" s="208"/>
      <c r="G43" s="208"/>
      <c r="H43" s="208"/>
      <c r="I43" s="208"/>
      <c r="J43" s="208"/>
    </row>
    <row r="44" spans="1:17" ht="14.25" x14ac:dyDescent="0.25">
      <c r="B44" s="157" t="s">
        <v>341</v>
      </c>
      <c r="C44" s="159">
        <v>0.2</v>
      </c>
      <c r="D44" s="158" t="s">
        <v>133</v>
      </c>
      <c r="E44" s="754"/>
      <c r="F44" s="208"/>
      <c r="G44" s="208"/>
      <c r="H44" s="208"/>
      <c r="I44" s="208"/>
      <c r="J44" s="208"/>
    </row>
    <row r="45" spans="1:17" ht="15.75" x14ac:dyDescent="0.25">
      <c r="B45" s="157" t="s">
        <v>292</v>
      </c>
      <c r="C45" s="159">
        <v>0.2</v>
      </c>
      <c r="D45" s="158" t="s">
        <v>133</v>
      </c>
      <c r="E45" s="158" t="s">
        <v>293</v>
      </c>
      <c r="F45" s="208"/>
      <c r="G45" s="208"/>
      <c r="H45" s="208"/>
      <c r="I45" s="208"/>
      <c r="J45" s="208"/>
    </row>
    <row r="47" spans="1:17" x14ac:dyDescent="0.2">
      <c r="B47" s="154" t="s">
        <v>97</v>
      </c>
      <c r="C47" s="458" t="s">
        <v>329</v>
      </c>
      <c r="D47" s="154" t="s">
        <v>6</v>
      </c>
      <c r="E47" s="154" t="s">
        <v>286</v>
      </c>
    </row>
    <row r="48" spans="1:17" ht="14.25" x14ac:dyDescent="0.25">
      <c r="A48" s="177"/>
      <c r="B48" s="158" t="s">
        <v>296</v>
      </c>
      <c r="C48" s="159">
        <v>1.024</v>
      </c>
      <c r="D48" s="158" t="s">
        <v>295</v>
      </c>
      <c r="E48" s="158" t="s">
        <v>351</v>
      </c>
      <c r="F48" s="208"/>
      <c r="G48" s="208"/>
      <c r="H48" s="208"/>
      <c r="I48" s="208"/>
      <c r="J48" s="208"/>
      <c r="K48" s="208"/>
      <c r="L48" s="208"/>
      <c r="M48" s="208"/>
      <c r="N48" s="208"/>
      <c r="O48" s="208"/>
      <c r="P48" s="208"/>
      <c r="Q48" s="208"/>
    </row>
    <row r="49" spans="2:50" ht="14.25" x14ac:dyDescent="0.25">
      <c r="B49" s="158" t="s">
        <v>324</v>
      </c>
      <c r="C49" s="159">
        <v>1.04</v>
      </c>
      <c r="D49" s="158" t="s">
        <v>295</v>
      </c>
      <c r="E49" s="158" t="s">
        <v>326</v>
      </c>
      <c r="F49" s="208"/>
      <c r="G49" s="208"/>
      <c r="H49" s="208"/>
      <c r="I49" s="208"/>
      <c r="J49" s="208"/>
    </row>
    <row r="50" spans="2:50" ht="14.25" x14ac:dyDescent="0.25">
      <c r="B50" s="158" t="s">
        <v>325</v>
      </c>
      <c r="C50" s="159">
        <v>1.075</v>
      </c>
      <c r="D50" s="158" t="s">
        <v>295</v>
      </c>
      <c r="E50" s="158" t="s">
        <v>327</v>
      </c>
      <c r="F50" s="208"/>
      <c r="G50" s="208"/>
      <c r="H50" s="208"/>
      <c r="I50" s="208"/>
      <c r="J50" s="208"/>
    </row>
    <row r="52" spans="2:50" x14ac:dyDescent="0.2">
      <c r="B52" s="154" t="s">
        <v>97</v>
      </c>
      <c r="C52" s="458" t="s">
        <v>332</v>
      </c>
      <c r="D52" s="154" t="s">
        <v>6</v>
      </c>
      <c r="E52" s="154" t="s">
        <v>286</v>
      </c>
    </row>
    <row r="53" spans="2:50" ht="14.25" x14ac:dyDescent="0.25">
      <c r="B53" s="157" t="s">
        <v>331</v>
      </c>
      <c r="C53" s="159">
        <v>1</v>
      </c>
      <c r="D53" s="158" t="s">
        <v>133</v>
      </c>
      <c r="E53" s="158" t="s">
        <v>333</v>
      </c>
    </row>
    <row r="54" spans="2:50" ht="14.25" x14ac:dyDescent="0.25">
      <c r="B54" s="157" t="s">
        <v>330</v>
      </c>
      <c r="C54" s="159">
        <v>2</v>
      </c>
      <c r="D54" s="158" t="s">
        <v>133</v>
      </c>
      <c r="E54" s="158" t="s">
        <v>334</v>
      </c>
    </row>
    <row r="57" spans="2:50" ht="13.5" thickBot="1" x14ac:dyDescent="0.25"/>
    <row r="58" spans="2:50" ht="13.5" thickBot="1" x14ac:dyDescent="0.25">
      <c r="D58" s="169"/>
      <c r="E58" s="170" t="s">
        <v>83</v>
      </c>
      <c r="F58" s="171"/>
      <c r="G58" s="171"/>
      <c r="H58" s="171"/>
      <c r="I58" s="171"/>
      <c r="J58" s="171"/>
      <c r="K58" s="171"/>
      <c r="L58" s="171"/>
      <c r="M58" s="171"/>
      <c r="N58" s="171"/>
      <c r="O58" s="171"/>
      <c r="P58" s="171"/>
      <c r="Q58" s="172"/>
    </row>
    <row r="59" spans="2:50" ht="15.75" x14ac:dyDescent="0.25">
      <c r="B59" s="156" t="s">
        <v>415</v>
      </c>
      <c r="C59" s="156" t="s">
        <v>59</v>
      </c>
      <c r="E59" s="173" t="s">
        <v>42</v>
      </c>
      <c r="F59" s="177">
        <f>10-F69</f>
        <v>5</v>
      </c>
      <c r="G59" s="177">
        <f t="shared" ref="G59:P59" si="11">10-G69</f>
        <v>5</v>
      </c>
      <c r="H59" s="177">
        <f t="shared" si="11"/>
        <v>5</v>
      </c>
      <c r="I59" s="177">
        <f t="shared" si="11"/>
        <v>5</v>
      </c>
      <c r="J59" s="177">
        <f t="shared" si="11"/>
        <v>5</v>
      </c>
      <c r="K59" s="177">
        <f t="shared" si="11"/>
        <v>5</v>
      </c>
      <c r="L59" s="177">
        <f t="shared" si="11"/>
        <v>5</v>
      </c>
      <c r="M59" s="177">
        <f t="shared" si="11"/>
        <v>5</v>
      </c>
      <c r="N59" s="177">
        <f t="shared" si="11"/>
        <v>5</v>
      </c>
      <c r="O59" s="177">
        <f t="shared" si="11"/>
        <v>5</v>
      </c>
      <c r="P59" s="177">
        <f t="shared" si="11"/>
        <v>5</v>
      </c>
      <c r="Q59" s="178">
        <f>10-Q69</f>
        <v>5</v>
      </c>
    </row>
    <row r="60" spans="2:50" x14ac:dyDescent="0.2">
      <c r="B60" s="156">
        <v>0</v>
      </c>
      <c r="C60" s="156" t="s">
        <v>24</v>
      </c>
      <c r="D60" s="174"/>
      <c r="E60" s="173"/>
      <c r="F60" s="177" t="str">
        <f>IF(invulblad!K11="","",CONCATENATE(invulblad!K11," (",ROUND(invulblad!K54,0),"m)"))</f>
        <v>Voorbeeld (200m)</v>
      </c>
      <c r="G60" s="177" t="str">
        <f>IF(invulblad!L11="","",CONCATENATE(invulblad!L11," (",ROUND(invulblad!L54,0),"m)"))</f>
        <v>water_2 (0m)</v>
      </c>
      <c r="H60" s="177" t="str">
        <f>IF(invulblad!M11="","",CONCATENATE(invulblad!M11," (",ROUND(invulblad!M54,0),"m)"))</f>
        <v>water_3 (0m)</v>
      </c>
      <c r="I60" s="177" t="str">
        <f>IF(invulblad!N11="","",CONCATENATE(invulblad!N11," (",ROUND(invulblad!N54,0),"m)"))</f>
        <v>water_4 (0m)</v>
      </c>
      <c r="J60" s="177" t="str">
        <f>IF(invulblad!O11="","",CONCATENATE(invulblad!O11," (",ROUND(invulblad!O54,0),"m)"))</f>
        <v>water_5 (0m)</v>
      </c>
      <c r="K60" s="177" t="str">
        <f>IF(invulblad!P11="","",CONCATENATE(invulblad!P11," (",ROUND(invulblad!P54,0),"m)"))</f>
        <v>water_6 (0m)</v>
      </c>
      <c r="L60" s="177" t="str">
        <f>IF(invulblad!Q11="","",CONCATENATE(invulblad!Q11," (",ROUND(invulblad!Q54,0),"m)"))</f>
        <v>water_7 (0m)</v>
      </c>
      <c r="M60" s="177" t="str">
        <f>IF(invulblad!R11="","",CONCATENATE(invulblad!R11," (",ROUND(invulblad!R54,0),"m)"))</f>
        <v>water_8 (0m)</v>
      </c>
      <c r="N60" s="177" t="str">
        <f>IF(invulblad!S11="","",CONCATENATE(invulblad!S11," (",ROUND(invulblad!S54,0),"m)"))</f>
        <v>water_9 (0m)</v>
      </c>
      <c r="O60" s="177" t="str">
        <f>IF(invulblad!T11="","",CONCATENATE(invulblad!T11," (",ROUND(invulblad!T54,0),"m)"))</f>
        <v>water_10 (0m)</v>
      </c>
      <c r="P60" s="177" t="str">
        <f>IF(invulblad!U11="","",CONCATENATE(invulblad!U11," (",ROUND(invulblad!U54,0),"m)"))</f>
        <v>water_11 (0m)</v>
      </c>
      <c r="Q60" s="178" t="str">
        <f>IF(invulblad!V11="","",CONCATENATE(invulblad!V11," (",ROUND(invulblad!V54,0),"m)"))</f>
        <v>water_12 (0m)</v>
      </c>
    </row>
    <row r="61" spans="2:50" x14ac:dyDescent="0.2">
      <c r="B61" s="156">
        <v>0.1</v>
      </c>
      <c r="C61" s="156" t="s">
        <v>24</v>
      </c>
      <c r="D61" s="174"/>
      <c r="E61" s="173" t="s">
        <v>373</v>
      </c>
      <c r="F61" s="179">
        <f>(F29+F19*F32)/(F16*F26+F18)</f>
        <v>0.50932034467457821</v>
      </c>
      <c r="G61" s="179" t="e">
        <f t="shared" ref="G61:Q61" si="12">(G29+G19*G32)/(G16*G26+G18)</f>
        <v>#VALUE!</v>
      </c>
      <c r="H61" s="179" t="e">
        <f t="shared" si="12"/>
        <v>#VALUE!</v>
      </c>
      <c r="I61" s="179" t="e">
        <f t="shared" si="12"/>
        <v>#VALUE!</v>
      </c>
      <c r="J61" s="179" t="e">
        <f t="shared" si="12"/>
        <v>#VALUE!</v>
      </c>
      <c r="K61" s="179" t="e">
        <f t="shared" si="12"/>
        <v>#VALUE!</v>
      </c>
      <c r="L61" s="179" t="e">
        <f t="shared" si="12"/>
        <v>#VALUE!</v>
      </c>
      <c r="M61" s="179" t="e">
        <f t="shared" si="12"/>
        <v>#VALUE!</v>
      </c>
      <c r="N61" s="179" t="e">
        <f t="shared" si="12"/>
        <v>#VALUE!</v>
      </c>
      <c r="O61" s="179" t="e">
        <f t="shared" si="12"/>
        <v>#VALUE!</v>
      </c>
      <c r="P61" s="179" t="e">
        <f t="shared" si="12"/>
        <v>#VALUE!</v>
      </c>
      <c r="Q61" s="180" t="e">
        <f t="shared" si="12"/>
        <v>#VALUE!</v>
      </c>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c r="AT61" s="175"/>
      <c r="AU61" s="175"/>
      <c r="AV61" s="175"/>
      <c r="AW61" s="175"/>
      <c r="AX61" s="175"/>
    </row>
    <row r="62" spans="2:50" x14ac:dyDescent="0.2">
      <c r="B62" s="156">
        <v>0.2</v>
      </c>
      <c r="C62" s="156" t="s">
        <v>24</v>
      </c>
      <c r="D62" s="174"/>
      <c r="E62" s="173" t="s">
        <v>364</v>
      </c>
      <c r="F62" s="179">
        <f>(F28+F19*F32)/(F16*F26+F18+F20)</f>
        <v>2.354698400403163</v>
      </c>
      <c r="G62" s="179" t="e">
        <f t="shared" ref="G62:Q62" si="13">(G28+G19*G32)/(G16*G26+G18+G20)</f>
        <v>#VALUE!</v>
      </c>
      <c r="H62" s="179" t="e">
        <f t="shared" si="13"/>
        <v>#VALUE!</v>
      </c>
      <c r="I62" s="179" t="e">
        <f t="shared" si="13"/>
        <v>#VALUE!</v>
      </c>
      <c r="J62" s="179" t="e">
        <f t="shared" si="13"/>
        <v>#VALUE!</v>
      </c>
      <c r="K62" s="179" t="e">
        <f t="shared" si="13"/>
        <v>#VALUE!</v>
      </c>
      <c r="L62" s="179" t="e">
        <f t="shared" si="13"/>
        <v>#VALUE!</v>
      </c>
      <c r="M62" s="179" t="e">
        <f t="shared" si="13"/>
        <v>#VALUE!</v>
      </c>
      <c r="N62" s="179" t="e">
        <f t="shared" si="13"/>
        <v>#VALUE!</v>
      </c>
      <c r="O62" s="179" t="e">
        <f t="shared" si="13"/>
        <v>#VALUE!</v>
      </c>
      <c r="P62" s="179" t="e">
        <f t="shared" si="13"/>
        <v>#VALUE!</v>
      </c>
      <c r="Q62" s="180" t="e">
        <f t="shared" si="13"/>
        <v>#VALUE!</v>
      </c>
    </row>
    <row r="63" spans="2:50" x14ac:dyDescent="0.2">
      <c r="B63" s="156">
        <v>0.3</v>
      </c>
      <c r="C63" s="156" t="s">
        <v>24</v>
      </c>
      <c r="D63" s="174"/>
      <c r="E63" s="173" t="s">
        <v>374</v>
      </c>
      <c r="F63" s="179">
        <f>(F31+F19*F33)/(F17*F26+F18)</f>
        <v>0.1647964541763485</v>
      </c>
      <c r="G63" s="179" t="e">
        <f t="shared" ref="G63:Q63" si="14">(G31+G19*G33)/(G17*G26+G18)</f>
        <v>#VALUE!</v>
      </c>
      <c r="H63" s="179" t="e">
        <f t="shared" si="14"/>
        <v>#VALUE!</v>
      </c>
      <c r="I63" s="179" t="e">
        <f t="shared" si="14"/>
        <v>#VALUE!</v>
      </c>
      <c r="J63" s="179" t="e">
        <f t="shared" si="14"/>
        <v>#VALUE!</v>
      </c>
      <c r="K63" s="179" t="e">
        <f t="shared" si="14"/>
        <v>#VALUE!</v>
      </c>
      <c r="L63" s="179" t="e">
        <f t="shared" si="14"/>
        <v>#VALUE!</v>
      </c>
      <c r="M63" s="179" t="e">
        <f t="shared" si="14"/>
        <v>#VALUE!</v>
      </c>
      <c r="N63" s="179" t="e">
        <f t="shared" si="14"/>
        <v>#VALUE!</v>
      </c>
      <c r="O63" s="179" t="e">
        <f t="shared" si="14"/>
        <v>#VALUE!</v>
      </c>
      <c r="P63" s="179" t="e">
        <f t="shared" si="14"/>
        <v>#VALUE!</v>
      </c>
      <c r="Q63" s="180" t="e">
        <f t="shared" si="14"/>
        <v>#VALUE!</v>
      </c>
    </row>
    <row r="64" spans="2:50" x14ac:dyDescent="0.2">
      <c r="B64" s="156">
        <v>0.4</v>
      </c>
      <c r="C64" s="156" t="s">
        <v>24</v>
      </c>
      <c r="D64" s="174"/>
      <c r="E64" s="173" t="s">
        <v>365</v>
      </c>
      <c r="F64" s="179">
        <f>(F30+F19*F33)/(F17*F26+F18+F20)</f>
        <v>0.46365639606255382</v>
      </c>
      <c r="G64" s="179" t="e">
        <f t="shared" ref="G64:Q64" si="15">(G30+G19*G33)/(G17*G26+G18+G20)</f>
        <v>#VALUE!</v>
      </c>
      <c r="H64" s="179" t="e">
        <f t="shared" si="15"/>
        <v>#VALUE!</v>
      </c>
      <c r="I64" s="179" t="e">
        <f t="shared" si="15"/>
        <v>#VALUE!</v>
      </c>
      <c r="J64" s="179" t="e">
        <f t="shared" si="15"/>
        <v>#VALUE!</v>
      </c>
      <c r="K64" s="179" t="e">
        <f t="shared" si="15"/>
        <v>#VALUE!</v>
      </c>
      <c r="L64" s="179" t="e">
        <f t="shared" si="15"/>
        <v>#VALUE!</v>
      </c>
      <c r="M64" s="179" t="e">
        <f t="shared" si="15"/>
        <v>#VALUE!</v>
      </c>
      <c r="N64" s="179" t="e">
        <f t="shared" si="15"/>
        <v>#VALUE!</v>
      </c>
      <c r="O64" s="179" t="e">
        <f t="shared" si="15"/>
        <v>#VALUE!</v>
      </c>
      <c r="P64" s="179" t="e">
        <f t="shared" si="15"/>
        <v>#VALUE!</v>
      </c>
      <c r="Q64" s="180" t="e">
        <f t="shared" si="15"/>
        <v>#VALUE!</v>
      </c>
    </row>
    <row r="65" spans="2:18" x14ac:dyDescent="0.2">
      <c r="B65" s="156">
        <v>0.5</v>
      </c>
      <c r="C65" s="156" t="s">
        <v>24</v>
      </c>
      <c r="D65" s="174"/>
      <c r="E65" s="173"/>
      <c r="F65" s="179"/>
      <c r="G65" s="179"/>
      <c r="H65" s="179"/>
      <c r="I65" s="179"/>
      <c r="J65" s="179"/>
      <c r="K65" s="179"/>
      <c r="L65" s="179"/>
      <c r="M65" s="179"/>
      <c r="N65" s="179"/>
      <c r="O65" s="179"/>
      <c r="P65" s="179"/>
      <c r="Q65" s="180"/>
    </row>
    <row r="66" spans="2:18" ht="14.25" x14ac:dyDescent="0.25">
      <c r="B66" s="156">
        <v>0.6</v>
      </c>
      <c r="C66" s="156" t="s">
        <v>24</v>
      </c>
      <c r="D66" s="174"/>
      <c r="E66" s="173" t="s">
        <v>376</v>
      </c>
      <c r="F66" s="179">
        <f>IF(((F10/F12*F5)-(F16*F61)-(4.57*F17*F63)+(F18/F26)*F23-(F27/F12))/((F10/F12)+(F18/F26))&lt;0,0,((F10/F12*F5)-(F16*F61)-(4.57*F17*F63)+(F18/F26)*F23-(F27/F12))/((F10/F12)+(F18/F26)))</f>
        <v>5.4482953967183807</v>
      </c>
      <c r="G66" s="179" t="e">
        <f t="shared" ref="G66:Q66" si="16">IF(((G10/G12*G5)-(G16*G61)-(4.57*G17*G63)+(G18/G26)*G23-(G27/G12))/((G10/G12)+(G18/G26))&lt;0,0,((G10/G12*G5)-(G16*G61)-(4.57*G17*G63)+(G18/G26)*G23-(G27/G12))/((G10/G12)+(G18/G26)))</f>
        <v>#VALUE!</v>
      </c>
      <c r="H66" s="179" t="e">
        <f t="shared" si="16"/>
        <v>#VALUE!</v>
      </c>
      <c r="I66" s="179" t="e">
        <f t="shared" si="16"/>
        <v>#VALUE!</v>
      </c>
      <c r="J66" s="179" t="e">
        <f t="shared" si="16"/>
        <v>#VALUE!</v>
      </c>
      <c r="K66" s="179" t="e">
        <f t="shared" si="16"/>
        <v>#VALUE!</v>
      </c>
      <c r="L66" s="179" t="e">
        <f t="shared" si="16"/>
        <v>#VALUE!</v>
      </c>
      <c r="M66" s="179" t="e">
        <f t="shared" si="16"/>
        <v>#VALUE!</v>
      </c>
      <c r="N66" s="179" t="e">
        <f t="shared" si="16"/>
        <v>#VALUE!</v>
      </c>
      <c r="O66" s="179" t="e">
        <f t="shared" si="16"/>
        <v>#VALUE!</v>
      </c>
      <c r="P66" s="179" t="e">
        <f t="shared" si="16"/>
        <v>#VALUE!</v>
      </c>
      <c r="Q66" s="180" t="e">
        <f t="shared" si="16"/>
        <v>#VALUE!</v>
      </c>
      <c r="R66" s="500"/>
    </row>
    <row r="67" spans="2:18" ht="14.25" x14ac:dyDescent="0.25">
      <c r="B67" s="156">
        <v>0.7</v>
      </c>
      <c r="C67" s="156" t="s">
        <v>24</v>
      </c>
      <c r="D67" s="174"/>
      <c r="E67" s="173" t="s">
        <v>375</v>
      </c>
      <c r="F67" s="179">
        <f>IF(((F10/F12*F5)-(F16*F62)-(4.57*F17*F64)+((F18+F20)/F26)*F23-(F27/F12))/((F10/F12)+((F18+F20)/F26))&lt;0,0,((F10/F12*F5)-(F16*F62)-(4.57*F17*F64)+((F18+F20)/F26)*F23-(F27/F12))/((F10/F12)+((F18+F20)/F26)))</f>
        <v>3.259218056908181</v>
      </c>
      <c r="G67" s="179" t="e">
        <f t="shared" ref="G67:Q67" si="17">IF(((G10/G12*G5)-(G16*G62)-(4.57*G17*G64)+((G18+G20)/G26)*G23-(G27/G12))/((G10/G12)+((G18+G20)/G26))&lt;0,0,((G10/G12*G5)-(G16*G62)-(4.57*G17*G64)+((G18+G20)/G26)*G23-(G27/G12))/((G10/G12)+((G18+G20)/G26)))</f>
        <v>#VALUE!</v>
      </c>
      <c r="H67" s="179" t="e">
        <f t="shared" si="17"/>
        <v>#VALUE!</v>
      </c>
      <c r="I67" s="179" t="e">
        <f t="shared" si="17"/>
        <v>#VALUE!</v>
      </c>
      <c r="J67" s="179" t="e">
        <f t="shared" si="17"/>
        <v>#VALUE!</v>
      </c>
      <c r="K67" s="179" t="e">
        <f t="shared" si="17"/>
        <v>#VALUE!</v>
      </c>
      <c r="L67" s="179" t="e">
        <f t="shared" si="17"/>
        <v>#VALUE!</v>
      </c>
      <c r="M67" s="179" t="e">
        <f t="shared" si="17"/>
        <v>#VALUE!</v>
      </c>
      <c r="N67" s="179" t="e">
        <f t="shared" si="17"/>
        <v>#VALUE!</v>
      </c>
      <c r="O67" s="179" t="e">
        <f t="shared" si="17"/>
        <v>#VALUE!</v>
      </c>
      <c r="P67" s="179" t="e">
        <f t="shared" si="17"/>
        <v>#VALUE!</v>
      </c>
      <c r="Q67" s="180" t="e">
        <f t="shared" si="17"/>
        <v>#VALUE!</v>
      </c>
    </row>
    <row r="68" spans="2:18" ht="14.25" x14ac:dyDescent="0.25">
      <c r="B68" s="156">
        <v>0.8</v>
      </c>
      <c r="C68" s="156" t="s">
        <v>24</v>
      </c>
      <c r="D68" s="174"/>
      <c r="E68" s="173" t="s">
        <v>377</v>
      </c>
      <c r="F68" s="179">
        <f>IF(((F9/F12*F5)-(F16*F61)-(4.57*F17*F63)+(F18/F26)*F23-(F27/F12))/((F9/F12)+(F18/F26))&lt;0,0,((F9/F12*F5)-(F16*F61)-(4.57*F17*F63)+(F18/F26)*F23-(F27/F12))/((F9/F12)+(F18/F26)))</f>
        <v>5.9652944640869032</v>
      </c>
      <c r="G68" s="179" t="e">
        <f t="shared" ref="G68:Q68" si="18">IF(((G9/G12*G5)-(G16*G61)-(4.57*G17*G63)+(G18/G26)*G23-(G27/G12))/((G9/G12)+(G18/G26))&lt;0,0,((G9/G12*G5)-(G16*G61)-(4.57*G17*G63)+(G18/G26)*G23-(G27/G12))/((G9/G12)+(G18/G26)))</f>
        <v>#VALUE!</v>
      </c>
      <c r="H68" s="179" t="e">
        <f t="shared" si="18"/>
        <v>#VALUE!</v>
      </c>
      <c r="I68" s="179" t="e">
        <f t="shared" si="18"/>
        <v>#VALUE!</v>
      </c>
      <c r="J68" s="179" t="e">
        <f t="shared" si="18"/>
        <v>#VALUE!</v>
      </c>
      <c r="K68" s="179" t="e">
        <f t="shared" si="18"/>
        <v>#VALUE!</v>
      </c>
      <c r="L68" s="179" t="e">
        <f t="shared" si="18"/>
        <v>#VALUE!</v>
      </c>
      <c r="M68" s="179" t="e">
        <f t="shared" si="18"/>
        <v>#VALUE!</v>
      </c>
      <c r="N68" s="179" t="e">
        <f t="shared" si="18"/>
        <v>#VALUE!</v>
      </c>
      <c r="O68" s="179" t="e">
        <f t="shared" si="18"/>
        <v>#VALUE!</v>
      </c>
      <c r="P68" s="179" t="e">
        <f t="shared" si="18"/>
        <v>#VALUE!</v>
      </c>
      <c r="Q68" s="180" t="e">
        <f t="shared" si="18"/>
        <v>#VALUE!</v>
      </c>
      <c r="R68" s="500"/>
    </row>
    <row r="69" spans="2:18" ht="14.25" x14ac:dyDescent="0.25">
      <c r="B69" s="156">
        <v>0.9</v>
      </c>
      <c r="C69" s="156" t="s">
        <v>24</v>
      </c>
      <c r="D69" s="174"/>
      <c r="E69" s="173" t="s">
        <v>120</v>
      </c>
      <c r="F69" s="179">
        <f>invulblad!K6</f>
        <v>5</v>
      </c>
      <c r="G69" s="179">
        <f>invulblad!L6</f>
        <v>5</v>
      </c>
      <c r="H69" s="179">
        <f>invulblad!M6</f>
        <v>5</v>
      </c>
      <c r="I69" s="179">
        <f>invulblad!N6</f>
        <v>5</v>
      </c>
      <c r="J69" s="179">
        <f>invulblad!O6</f>
        <v>5</v>
      </c>
      <c r="K69" s="179">
        <f>invulblad!P6</f>
        <v>5</v>
      </c>
      <c r="L69" s="179">
        <f>invulblad!Q6</f>
        <v>5</v>
      </c>
      <c r="M69" s="179">
        <f>invulblad!R6</f>
        <v>5</v>
      </c>
      <c r="N69" s="179">
        <f>invulblad!S6</f>
        <v>5</v>
      </c>
      <c r="O69" s="179">
        <f>invulblad!T6</f>
        <v>5</v>
      </c>
      <c r="P69" s="179">
        <f>invulblad!U6</f>
        <v>5</v>
      </c>
      <c r="Q69" s="180">
        <f>invulblad!V6</f>
        <v>5</v>
      </c>
    </row>
    <row r="70" spans="2:18" x14ac:dyDescent="0.2">
      <c r="B70" s="156">
        <v>1</v>
      </c>
      <c r="C70" s="156" t="s">
        <v>15</v>
      </c>
      <c r="D70" s="174"/>
      <c r="E70" s="173" t="s">
        <v>217</v>
      </c>
      <c r="F70" s="179">
        <f>F67-F69</f>
        <v>-1.740781943091819</v>
      </c>
      <c r="G70" s="179" t="e">
        <f t="shared" ref="G70:Q70" si="19">G67-G69</f>
        <v>#VALUE!</v>
      </c>
      <c r="H70" s="179" t="e">
        <f t="shared" si="19"/>
        <v>#VALUE!</v>
      </c>
      <c r="I70" s="179" t="e">
        <f t="shared" si="19"/>
        <v>#VALUE!</v>
      </c>
      <c r="J70" s="179" t="e">
        <f t="shared" si="19"/>
        <v>#VALUE!</v>
      </c>
      <c r="K70" s="179" t="e">
        <f t="shared" si="19"/>
        <v>#VALUE!</v>
      </c>
      <c r="L70" s="179" t="e">
        <f t="shared" si="19"/>
        <v>#VALUE!</v>
      </c>
      <c r="M70" s="179" t="e">
        <f t="shared" si="19"/>
        <v>#VALUE!</v>
      </c>
      <c r="N70" s="179" t="e">
        <f t="shared" si="19"/>
        <v>#VALUE!</v>
      </c>
      <c r="O70" s="179" t="e">
        <f t="shared" si="19"/>
        <v>#VALUE!</v>
      </c>
      <c r="P70" s="179" t="e">
        <f t="shared" si="19"/>
        <v>#VALUE!</v>
      </c>
      <c r="Q70" s="180" t="e">
        <f t="shared" si="19"/>
        <v>#VALUE!</v>
      </c>
    </row>
    <row r="71" spans="2:18" x14ac:dyDescent="0.2">
      <c r="B71" s="156">
        <v>1.1000000000000001</v>
      </c>
      <c r="C71" s="156" t="s">
        <v>15</v>
      </c>
      <c r="D71" s="174"/>
      <c r="E71" s="173"/>
      <c r="F71" s="177"/>
      <c r="G71" s="177"/>
      <c r="H71" s="177"/>
      <c r="I71" s="177"/>
      <c r="J71" s="177"/>
      <c r="K71" s="177"/>
      <c r="L71" s="177"/>
      <c r="M71" s="177"/>
      <c r="N71" s="177"/>
      <c r="O71" s="177"/>
      <c r="P71" s="177"/>
      <c r="Q71" s="178"/>
    </row>
    <row r="72" spans="2:18" x14ac:dyDescent="0.2">
      <c r="B72" s="156">
        <v>1.2</v>
      </c>
      <c r="C72" s="156" t="s">
        <v>15</v>
      </c>
      <c r="D72" s="174"/>
      <c r="E72" s="173"/>
      <c r="F72" s="177"/>
      <c r="G72" s="177"/>
      <c r="H72" s="177"/>
      <c r="I72" s="177"/>
      <c r="J72" s="177"/>
      <c r="K72" s="177"/>
      <c r="L72" s="177"/>
      <c r="M72" s="177"/>
      <c r="N72" s="177"/>
      <c r="O72" s="177"/>
      <c r="P72" s="177"/>
      <c r="Q72" s="178"/>
    </row>
    <row r="73" spans="2:18" x14ac:dyDescent="0.2">
      <c r="B73" s="156">
        <v>1.3</v>
      </c>
      <c r="C73" s="156" t="s">
        <v>15</v>
      </c>
      <c r="D73" s="174"/>
      <c r="E73" s="173" t="s">
        <v>219</v>
      </c>
      <c r="F73" s="181" t="e">
        <f t="shared" ref="F73:Q73" si="20">IF(F$70&gt;0,F69+F$70,NA())</f>
        <v>#N/A</v>
      </c>
      <c r="G73" s="181" t="e">
        <f t="shared" si="20"/>
        <v>#VALUE!</v>
      </c>
      <c r="H73" s="181" t="e">
        <f t="shared" si="20"/>
        <v>#VALUE!</v>
      </c>
      <c r="I73" s="181" t="e">
        <f t="shared" si="20"/>
        <v>#VALUE!</v>
      </c>
      <c r="J73" s="181" t="e">
        <f t="shared" si="20"/>
        <v>#VALUE!</v>
      </c>
      <c r="K73" s="181" t="e">
        <f t="shared" si="20"/>
        <v>#VALUE!</v>
      </c>
      <c r="L73" s="181" t="e">
        <f t="shared" si="20"/>
        <v>#VALUE!</v>
      </c>
      <c r="M73" s="181" t="e">
        <f t="shared" si="20"/>
        <v>#VALUE!</v>
      </c>
      <c r="N73" s="181" t="e">
        <f t="shared" si="20"/>
        <v>#VALUE!</v>
      </c>
      <c r="O73" s="181" t="e">
        <f t="shared" si="20"/>
        <v>#VALUE!</v>
      </c>
      <c r="P73" s="181" t="e">
        <f t="shared" si="20"/>
        <v>#VALUE!</v>
      </c>
      <c r="Q73" s="182" t="e">
        <f t="shared" si="20"/>
        <v>#VALUE!</v>
      </c>
    </row>
    <row r="74" spans="2:18" ht="13.5" thickBot="1" x14ac:dyDescent="0.25">
      <c r="B74" s="156">
        <v>1.4</v>
      </c>
      <c r="C74" s="156" t="s">
        <v>15</v>
      </c>
      <c r="D74" s="174"/>
      <c r="E74" s="176" t="s">
        <v>218</v>
      </c>
      <c r="F74" s="455">
        <f t="shared" ref="F74:Q74" si="21">IF(F$70&lt;0,F69+F$70,NA())</f>
        <v>3.259218056908181</v>
      </c>
      <c r="G74" s="455" t="e">
        <f t="shared" si="21"/>
        <v>#VALUE!</v>
      </c>
      <c r="H74" s="455" t="e">
        <f t="shared" si="21"/>
        <v>#VALUE!</v>
      </c>
      <c r="I74" s="455" t="e">
        <f t="shared" si="21"/>
        <v>#VALUE!</v>
      </c>
      <c r="J74" s="455" t="e">
        <f t="shared" si="21"/>
        <v>#VALUE!</v>
      </c>
      <c r="K74" s="455" t="e">
        <f t="shared" si="21"/>
        <v>#VALUE!</v>
      </c>
      <c r="L74" s="455" t="e">
        <f t="shared" si="21"/>
        <v>#VALUE!</v>
      </c>
      <c r="M74" s="455" t="e">
        <f t="shared" si="21"/>
        <v>#VALUE!</v>
      </c>
      <c r="N74" s="455" t="e">
        <f t="shared" si="21"/>
        <v>#VALUE!</v>
      </c>
      <c r="O74" s="455" t="e">
        <f t="shared" si="21"/>
        <v>#VALUE!</v>
      </c>
      <c r="P74" s="455" t="e">
        <f t="shared" si="21"/>
        <v>#VALUE!</v>
      </c>
      <c r="Q74" s="456" t="e">
        <f t="shared" si="21"/>
        <v>#VALUE!</v>
      </c>
    </row>
    <row r="75" spans="2:18" x14ac:dyDescent="0.2">
      <c r="B75" s="156">
        <v>1.5</v>
      </c>
      <c r="C75" s="156" t="s">
        <v>15</v>
      </c>
      <c r="D75" s="174"/>
      <c r="E75" s="174"/>
      <c r="F75" s="174"/>
    </row>
    <row r="76" spans="2:18" x14ac:dyDescent="0.2">
      <c r="B76" s="156">
        <v>1.6</v>
      </c>
      <c r="C76" s="156" t="s">
        <v>15</v>
      </c>
      <c r="D76" s="174"/>
      <c r="E76" s="174"/>
      <c r="F76" s="174"/>
    </row>
    <row r="77" spans="2:18" x14ac:dyDescent="0.2">
      <c r="B77" s="156">
        <v>1.7</v>
      </c>
      <c r="C77" s="156" t="s">
        <v>15</v>
      </c>
      <c r="D77" s="174"/>
      <c r="E77" s="174"/>
      <c r="F77" s="175"/>
    </row>
    <row r="78" spans="2:18" x14ac:dyDescent="0.2">
      <c r="B78" s="156">
        <v>1.8</v>
      </c>
      <c r="C78" s="156" t="s">
        <v>15</v>
      </c>
      <c r="D78" s="174"/>
      <c r="E78" s="174"/>
      <c r="F78" s="174"/>
    </row>
    <row r="79" spans="2:18" x14ac:dyDescent="0.2">
      <c r="B79" s="156">
        <v>1.9</v>
      </c>
      <c r="C79" s="156" t="s">
        <v>15</v>
      </c>
      <c r="D79" s="174"/>
      <c r="E79" s="174"/>
      <c r="F79" s="174"/>
    </row>
    <row r="80" spans="2:18" x14ac:dyDescent="0.2">
      <c r="B80" s="156">
        <v>2</v>
      </c>
      <c r="C80" s="156" t="s">
        <v>23</v>
      </c>
      <c r="D80" s="174"/>
      <c r="E80" s="174"/>
      <c r="F80" s="174"/>
    </row>
    <row r="81" spans="2:6" x14ac:dyDescent="0.2">
      <c r="B81" s="156">
        <v>2.1</v>
      </c>
      <c r="C81" s="156" t="s">
        <v>23</v>
      </c>
      <c r="D81" s="174"/>
      <c r="E81" s="174"/>
      <c r="F81" s="174"/>
    </row>
    <row r="82" spans="2:6" x14ac:dyDescent="0.2">
      <c r="B82" s="156">
        <v>2.2000000000000002</v>
      </c>
      <c r="C82" s="156" t="s">
        <v>23</v>
      </c>
      <c r="D82" s="174"/>
      <c r="E82" s="174"/>
      <c r="F82" s="174"/>
    </row>
    <row r="83" spans="2:6" x14ac:dyDescent="0.2">
      <c r="B83" s="156">
        <v>2.2999999999999998</v>
      </c>
      <c r="C83" s="156" t="s">
        <v>23</v>
      </c>
      <c r="D83" s="174"/>
      <c r="E83" s="174"/>
      <c r="F83" s="174"/>
    </row>
    <row r="84" spans="2:6" x14ac:dyDescent="0.2">
      <c r="B84" s="156">
        <v>2.4</v>
      </c>
      <c r="C84" s="156" t="s">
        <v>23</v>
      </c>
      <c r="D84" s="174"/>
      <c r="E84" s="174"/>
      <c r="F84" s="174"/>
    </row>
    <row r="85" spans="2:6" x14ac:dyDescent="0.2">
      <c r="B85" s="156">
        <v>2.5</v>
      </c>
      <c r="C85" s="156" t="s">
        <v>23</v>
      </c>
      <c r="D85" s="174"/>
      <c r="E85" s="174"/>
      <c r="F85" s="174"/>
    </row>
    <row r="86" spans="2:6" x14ac:dyDescent="0.2">
      <c r="B86" s="156">
        <v>2.6</v>
      </c>
      <c r="C86" s="156" t="s">
        <v>23</v>
      </c>
      <c r="D86" s="174"/>
      <c r="E86" s="174"/>
      <c r="F86" s="174"/>
    </row>
    <row r="87" spans="2:6" x14ac:dyDescent="0.2">
      <c r="B87" s="156">
        <v>2.7</v>
      </c>
      <c r="C87" s="156" t="s">
        <v>23</v>
      </c>
      <c r="D87" s="174"/>
      <c r="E87" s="174"/>
      <c r="F87" s="174"/>
    </row>
    <row r="88" spans="2:6" x14ac:dyDescent="0.2">
      <c r="B88" s="156">
        <v>2.8</v>
      </c>
      <c r="C88" s="156" t="s">
        <v>23</v>
      </c>
      <c r="D88" s="174"/>
      <c r="E88" s="174"/>
      <c r="F88" s="174"/>
    </row>
    <row r="89" spans="2:6" x14ac:dyDescent="0.2">
      <c r="B89" s="156">
        <v>2.9</v>
      </c>
      <c r="C89" s="156" t="s">
        <v>23</v>
      </c>
      <c r="D89" s="174"/>
      <c r="E89" s="174"/>
      <c r="F89" s="174"/>
    </row>
    <row r="90" spans="2:6" x14ac:dyDescent="0.2">
      <c r="B90" s="156">
        <v>3</v>
      </c>
      <c r="C90" s="156" t="s">
        <v>23</v>
      </c>
      <c r="D90" s="174"/>
      <c r="E90" s="174"/>
      <c r="F90" s="174"/>
    </row>
    <row r="91" spans="2:6" x14ac:dyDescent="0.2">
      <c r="B91" s="156">
        <v>3.1</v>
      </c>
      <c r="C91" s="156" t="s">
        <v>23</v>
      </c>
      <c r="D91" s="174"/>
      <c r="E91" s="174"/>
      <c r="F91" s="174"/>
    </row>
    <row r="92" spans="2:6" x14ac:dyDescent="0.2">
      <c r="B92" s="156">
        <v>3.2</v>
      </c>
      <c r="C92" s="156" t="s">
        <v>23</v>
      </c>
      <c r="D92" s="174"/>
      <c r="E92" s="174"/>
      <c r="F92" s="174"/>
    </row>
    <row r="93" spans="2:6" x14ac:dyDescent="0.2">
      <c r="B93" s="156">
        <v>3.3</v>
      </c>
      <c r="C93" s="156" t="s">
        <v>23</v>
      </c>
      <c r="D93" s="174"/>
      <c r="E93" s="174"/>
      <c r="F93" s="174"/>
    </row>
    <row r="94" spans="2:6" x14ac:dyDescent="0.2">
      <c r="B94" s="156">
        <v>3.4</v>
      </c>
      <c r="C94" s="156" t="s">
        <v>23</v>
      </c>
      <c r="D94" s="174"/>
      <c r="E94" s="174"/>
      <c r="F94" s="174"/>
    </row>
    <row r="95" spans="2:6" x14ac:dyDescent="0.2">
      <c r="B95" s="156">
        <v>3.5</v>
      </c>
      <c r="C95" s="156" t="s">
        <v>23</v>
      </c>
      <c r="D95" s="174"/>
      <c r="E95" s="174"/>
      <c r="F95" s="174"/>
    </row>
    <row r="96" spans="2:6" x14ac:dyDescent="0.2">
      <c r="B96" s="156">
        <v>3.6</v>
      </c>
      <c r="C96" s="156" t="s">
        <v>23</v>
      </c>
      <c r="D96" s="174"/>
      <c r="E96" s="174"/>
      <c r="F96" s="174"/>
    </row>
    <row r="97" spans="2:6" x14ac:dyDescent="0.2">
      <c r="B97" s="156">
        <v>3.7</v>
      </c>
      <c r="C97" s="156" t="s">
        <v>23</v>
      </c>
      <c r="D97" s="174"/>
      <c r="E97" s="174"/>
      <c r="F97" s="174"/>
    </row>
    <row r="98" spans="2:6" x14ac:dyDescent="0.2">
      <c r="B98" s="156">
        <v>3.8</v>
      </c>
      <c r="C98" s="156" t="s">
        <v>23</v>
      </c>
      <c r="D98" s="174"/>
      <c r="E98" s="174"/>
      <c r="F98" s="174"/>
    </row>
    <row r="99" spans="2:6" x14ac:dyDescent="0.2">
      <c r="B99" s="156">
        <v>3.9</v>
      </c>
      <c r="C99" s="156" t="s">
        <v>23</v>
      </c>
      <c r="D99" s="174"/>
      <c r="E99" s="174"/>
      <c r="F99" s="174"/>
    </row>
    <row r="100" spans="2:6" x14ac:dyDescent="0.2">
      <c r="B100" s="156">
        <v>4</v>
      </c>
      <c r="C100" s="156" t="s">
        <v>23</v>
      </c>
      <c r="D100" s="174"/>
      <c r="E100" s="174"/>
      <c r="F100" s="174"/>
    </row>
    <row r="101" spans="2:6" x14ac:dyDescent="0.2">
      <c r="B101" s="156">
        <v>4.0999999999999996</v>
      </c>
      <c r="C101" s="156" t="s">
        <v>23</v>
      </c>
      <c r="D101" s="174"/>
      <c r="E101" s="174"/>
      <c r="F101" s="174"/>
    </row>
    <row r="102" spans="2:6" x14ac:dyDescent="0.2">
      <c r="B102" s="156">
        <v>4.2</v>
      </c>
      <c r="C102" s="156" t="s">
        <v>23</v>
      </c>
      <c r="D102" s="174"/>
      <c r="E102" s="174"/>
      <c r="F102" s="174"/>
    </row>
    <row r="103" spans="2:6" x14ac:dyDescent="0.2">
      <c r="B103" s="156">
        <v>4.3</v>
      </c>
      <c r="C103" s="156" t="s">
        <v>23</v>
      </c>
      <c r="D103" s="174"/>
      <c r="E103" s="174"/>
      <c r="F103" s="174"/>
    </row>
    <row r="104" spans="2:6" x14ac:dyDescent="0.2">
      <c r="B104" s="156">
        <v>4.4000000000000004</v>
      </c>
      <c r="C104" s="156" t="s">
        <v>23</v>
      </c>
      <c r="D104" s="174"/>
      <c r="E104" s="174"/>
      <c r="F104" s="174"/>
    </row>
    <row r="105" spans="2:6" x14ac:dyDescent="0.2">
      <c r="B105" s="156">
        <v>4.5</v>
      </c>
      <c r="C105" s="156" t="s">
        <v>23</v>
      </c>
      <c r="D105" s="174"/>
      <c r="E105" s="174"/>
      <c r="F105" s="174"/>
    </row>
    <row r="106" spans="2:6" x14ac:dyDescent="0.2">
      <c r="B106" s="156">
        <v>4.5999999999999996</v>
      </c>
      <c r="C106" s="156" t="s">
        <v>23</v>
      </c>
      <c r="D106" s="174"/>
      <c r="E106" s="174"/>
      <c r="F106" s="174"/>
    </row>
    <row r="107" spans="2:6" x14ac:dyDescent="0.2">
      <c r="B107" s="156">
        <v>4.7</v>
      </c>
      <c r="C107" s="156" t="s">
        <v>23</v>
      </c>
      <c r="D107" s="174"/>
      <c r="E107" s="174"/>
      <c r="F107" s="174"/>
    </row>
    <row r="108" spans="2:6" x14ac:dyDescent="0.2">
      <c r="B108" s="156">
        <v>4.8</v>
      </c>
      <c r="C108" s="156" t="s">
        <v>23</v>
      </c>
      <c r="D108" s="174"/>
      <c r="E108" s="174"/>
      <c r="F108" s="174"/>
    </row>
    <row r="109" spans="2:6" x14ac:dyDescent="0.2">
      <c r="B109" s="156">
        <v>4.9000000000000004</v>
      </c>
      <c r="C109" s="156" t="s">
        <v>23</v>
      </c>
      <c r="D109" s="174"/>
      <c r="E109" s="174"/>
      <c r="F109" s="174"/>
    </row>
    <row r="110" spans="2:6" x14ac:dyDescent="0.2">
      <c r="B110" s="156">
        <v>5</v>
      </c>
      <c r="C110" s="156" t="s">
        <v>23</v>
      </c>
      <c r="D110" s="174"/>
      <c r="E110" s="174"/>
      <c r="F110" s="174"/>
    </row>
    <row r="111" spans="2:6" x14ac:dyDescent="0.2">
      <c r="B111" s="156">
        <v>5.0999999999999996</v>
      </c>
      <c r="C111" s="156" t="s">
        <v>23</v>
      </c>
      <c r="D111" s="174"/>
      <c r="E111" s="174"/>
      <c r="F111" s="174"/>
    </row>
    <row r="112" spans="2:6" x14ac:dyDescent="0.2">
      <c r="B112" s="156">
        <v>5.2</v>
      </c>
      <c r="C112" s="156" t="s">
        <v>23</v>
      </c>
      <c r="D112" s="174"/>
      <c r="E112" s="174"/>
      <c r="F112" s="174"/>
    </row>
    <row r="113" spans="2:6" x14ac:dyDescent="0.2">
      <c r="B113" s="156">
        <v>5.3</v>
      </c>
      <c r="C113" s="156" t="s">
        <v>23</v>
      </c>
      <c r="D113" s="174"/>
      <c r="E113" s="174"/>
      <c r="F113" s="174"/>
    </row>
    <row r="114" spans="2:6" x14ac:dyDescent="0.2">
      <c r="B114" s="156">
        <v>5.4</v>
      </c>
      <c r="C114" s="156" t="s">
        <v>23</v>
      </c>
      <c r="D114" s="174"/>
      <c r="E114" s="174"/>
      <c r="F114" s="174"/>
    </row>
    <row r="115" spans="2:6" x14ac:dyDescent="0.2">
      <c r="B115" s="156">
        <v>5.5</v>
      </c>
      <c r="C115" s="156" t="s">
        <v>23</v>
      </c>
      <c r="D115" s="174"/>
      <c r="E115" s="174"/>
      <c r="F115" s="174"/>
    </row>
    <row r="116" spans="2:6" x14ac:dyDescent="0.2">
      <c r="B116" s="156">
        <v>5.6</v>
      </c>
      <c r="C116" s="156" t="s">
        <v>23</v>
      </c>
      <c r="D116" s="174"/>
      <c r="E116" s="174"/>
      <c r="F116" s="174"/>
    </row>
    <row r="117" spans="2:6" x14ac:dyDescent="0.2">
      <c r="B117" s="156">
        <v>5.7</v>
      </c>
      <c r="C117" s="156" t="s">
        <v>23</v>
      </c>
      <c r="D117" s="174"/>
      <c r="E117" s="174"/>
      <c r="F117" s="174"/>
    </row>
    <row r="118" spans="2:6" x14ac:dyDescent="0.2">
      <c r="B118" s="156">
        <v>5.8</v>
      </c>
      <c r="C118" s="156" t="s">
        <v>23</v>
      </c>
      <c r="D118" s="174"/>
      <c r="E118" s="174"/>
      <c r="F118" s="174"/>
    </row>
    <row r="119" spans="2:6" x14ac:dyDescent="0.2">
      <c r="B119" s="156">
        <v>5.9</v>
      </c>
      <c r="C119" s="156" t="s">
        <v>23</v>
      </c>
      <c r="D119" s="174"/>
      <c r="E119" s="174"/>
      <c r="F119" s="174"/>
    </row>
    <row r="120" spans="2:6" x14ac:dyDescent="0.2">
      <c r="B120" s="156">
        <v>6</v>
      </c>
      <c r="C120" s="156" t="s">
        <v>23</v>
      </c>
      <c r="D120" s="174"/>
      <c r="E120" s="174"/>
      <c r="F120" s="174"/>
    </row>
    <row r="121" spans="2:6" x14ac:dyDescent="0.2">
      <c r="B121" s="156">
        <v>6.1</v>
      </c>
      <c r="C121" s="156" t="s">
        <v>23</v>
      </c>
      <c r="D121" s="174"/>
      <c r="E121" s="174"/>
      <c r="F121" s="174"/>
    </row>
    <row r="122" spans="2:6" x14ac:dyDescent="0.2">
      <c r="B122" s="156">
        <v>6.2</v>
      </c>
      <c r="C122" s="156" t="s">
        <v>23</v>
      </c>
      <c r="D122" s="174"/>
      <c r="E122" s="174"/>
      <c r="F122" s="174"/>
    </row>
    <row r="123" spans="2:6" x14ac:dyDescent="0.2">
      <c r="B123" s="156">
        <v>6.3</v>
      </c>
      <c r="C123" s="156" t="s">
        <v>23</v>
      </c>
      <c r="D123" s="174"/>
      <c r="E123" s="174"/>
      <c r="F123" s="174"/>
    </row>
    <row r="124" spans="2:6" x14ac:dyDescent="0.2">
      <c r="B124" s="156">
        <v>6.4</v>
      </c>
      <c r="C124" s="156" t="s">
        <v>23</v>
      </c>
      <c r="D124" s="174"/>
      <c r="E124" s="174"/>
      <c r="F124" s="174"/>
    </row>
    <row r="125" spans="2:6" x14ac:dyDescent="0.2">
      <c r="B125" s="156">
        <v>6.5</v>
      </c>
      <c r="C125" s="156" t="s">
        <v>23</v>
      </c>
      <c r="D125" s="174"/>
      <c r="E125" s="174"/>
      <c r="F125" s="174"/>
    </row>
    <row r="126" spans="2:6" x14ac:dyDescent="0.2">
      <c r="B126" s="156">
        <v>6.6</v>
      </c>
      <c r="C126" s="156" t="s">
        <v>23</v>
      </c>
      <c r="D126" s="174"/>
      <c r="E126" s="174"/>
      <c r="F126" s="174"/>
    </row>
    <row r="127" spans="2:6" x14ac:dyDescent="0.2">
      <c r="B127" s="156">
        <v>6.7</v>
      </c>
      <c r="C127" s="156" t="s">
        <v>23</v>
      </c>
      <c r="D127" s="174"/>
      <c r="E127" s="174"/>
      <c r="F127" s="174"/>
    </row>
    <row r="128" spans="2:6" x14ac:dyDescent="0.2">
      <c r="B128" s="156">
        <v>6.8</v>
      </c>
      <c r="C128" s="156" t="s">
        <v>23</v>
      </c>
      <c r="D128" s="174"/>
      <c r="E128" s="174"/>
      <c r="F128" s="174"/>
    </row>
    <row r="129" spans="2:6" x14ac:dyDescent="0.2">
      <c r="B129" s="156">
        <v>6.9</v>
      </c>
      <c r="C129" s="156" t="s">
        <v>23</v>
      </c>
      <c r="D129" s="174"/>
      <c r="E129" s="174"/>
      <c r="F129" s="174"/>
    </row>
    <row r="130" spans="2:6" x14ac:dyDescent="0.2">
      <c r="B130" s="156">
        <v>7</v>
      </c>
      <c r="C130" s="156" t="s">
        <v>23</v>
      </c>
      <c r="D130" s="174"/>
      <c r="E130" s="174"/>
      <c r="F130" s="174"/>
    </row>
    <row r="131" spans="2:6" x14ac:dyDescent="0.2">
      <c r="B131" s="156">
        <v>7.1</v>
      </c>
      <c r="C131" s="156" t="s">
        <v>23</v>
      </c>
      <c r="D131" s="174"/>
      <c r="E131" s="174"/>
      <c r="F131" s="174"/>
    </row>
    <row r="132" spans="2:6" x14ac:dyDescent="0.2">
      <c r="B132" s="156">
        <v>7.2</v>
      </c>
      <c r="C132" s="156" t="s">
        <v>23</v>
      </c>
      <c r="D132" s="174"/>
      <c r="E132" s="174"/>
      <c r="F132" s="174"/>
    </row>
    <row r="133" spans="2:6" x14ac:dyDescent="0.2">
      <c r="B133" s="156">
        <v>7.3</v>
      </c>
      <c r="C133" s="156" t="s">
        <v>23</v>
      </c>
      <c r="D133" s="174"/>
      <c r="E133" s="174"/>
      <c r="F133" s="174"/>
    </row>
    <row r="134" spans="2:6" x14ac:dyDescent="0.2">
      <c r="B134" s="156">
        <v>7.4</v>
      </c>
      <c r="C134" s="156" t="s">
        <v>23</v>
      </c>
      <c r="D134" s="174"/>
      <c r="E134" s="174"/>
      <c r="F134" s="174"/>
    </row>
    <row r="135" spans="2:6" x14ac:dyDescent="0.2">
      <c r="B135" s="156">
        <v>7.5</v>
      </c>
      <c r="C135" s="156" t="s">
        <v>23</v>
      </c>
      <c r="D135" s="174"/>
      <c r="E135" s="174"/>
      <c r="F135" s="174"/>
    </row>
    <row r="136" spans="2:6" x14ac:dyDescent="0.2">
      <c r="B136" s="156">
        <v>7.6</v>
      </c>
      <c r="C136" s="156" t="s">
        <v>23</v>
      </c>
      <c r="D136" s="174"/>
      <c r="E136" s="174"/>
      <c r="F136" s="174"/>
    </row>
    <row r="137" spans="2:6" x14ac:dyDescent="0.2">
      <c r="B137" s="156">
        <v>7.7</v>
      </c>
      <c r="C137" s="156" t="s">
        <v>23</v>
      </c>
      <c r="D137" s="174"/>
      <c r="E137" s="174"/>
      <c r="F137" s="174"/>
    </row>
    <row r="138" spans="2:6" x14ac:dyDescent="0.2">
      <c r="B138" s="156">
        <v>7.8</v>
      </c>
      <c r="C138" s="156" t="s">
        <v>23</v>
      </c>
      <c r="D138" s="174"/>
      <c r="E138" s="174"/>
      <c r="F138" s="174"/>
    </row>
    <row r="139" spans="2:6" x14ac:dyDescent="0.2">
      <c r="B139" s="156">
        <v>7.9</v>
      </c>
      <c r="C139" s="156" t="s">
        <v>23</v>
      </c>
      <c r="D139" s="174"/>
      <c r="E139" s="174"/>
      <c r="F139" s="174"/>
    </row>
    <row r="140" spans="2:6" x14ac:dyDescent="0.2">
      <c r="B140" s="156">
        <v>8</v>
      </c>
      <c r="C140" s="156" t="s">
        <v>23</v>
      </c>
      <c r="D140" s="174"/>
      <c r="E140" s="174"/>
      <c r="F140" s="174"/>
    </row>
    <row r="141" spans="2:6" x14ac:dyDescent="0.2">
      <c r="B141" s="156">
        <v>8.1</v>
      </c>
      <c r="C141" s="156" t="s">
        <v>23</v>
      </c>
      <c r="D141" s="174"/>
      <c r="E141" s="174"/>
      <c r="F141" s="174"/>
    </row>
    <row r="142" spans="2:6" x14ac:dyDescent="0.2">
      <c r="B142" s="156">
        <v>8.1999999999999993</v>
      </c>
      <c r="C142" s="156" t="s">
        <v>23</v>
      </c>
      <c r="D142" s="174"/>
      <c r="E142" s="174"/>
      <c r="F142" s="174"/>
    </row>
    <row r="143" spans="2:6" x14ac:dyDescent="0.2">
      <c r="B143" s="156">
        <v>8.3000000000000007</v>
      </c>
      <c r="C143" s="156" t="s">
        <v>23</v>
      </c>
      <c r="D143" s="174"/>
      <c r="E143" s="174"/>
      <c r="F143" s="174"/>
    </row>
    <row r="144" spans="2:6" x14ac:dyDescent="0.2">
      <c r="B144" s="156">
        <v>8.4</v>
      </c>
      <c r="C144" s="156" t="s">
        <v>23</v>
      </c>
      <c r="D144" s="174"/>
      <c r="E144" s="174"/>
      <c r="F144" s="174"/>
    </row>
    <row r="145" spans="2:6" x14ac:dyDescent="0.2">
      <c r="B145" s="156">
        <v>8.5</v>
      </c>
      <c r="C145" s="156" t="s">
        <v>23</v>
      </c>
      <c r="D145" s="174"/>
      <c r="E145" s="174"/>
      <c r="F145" s="174"/>
    </row>
    <row r="146" spans="2:6" x14ac:dyDescent="0.2">
      <c r="B146" s="156">
        <v>8.6</v>
      </c>
      <c r="C146" s="156" t="s">
        <v>23</v>
      </c>
      <c r="D146" s="174"/>
      <c r="E146" s="174"/>
      <c r="F146" s="174"/>
    </row>
    <row r="147" spans="2:6" x14ac:dyDescent="0.2">
      <c r="B147" s="156">
        <v>8.6999999999999993</v>
      </c>
      <c r="C147" s="156" t="s">
        <v>23</v>
      </c>
      <c r="D147" s="174"/>
      <c r="E147" s="174"/>
      <c r="F147" s="174"/>
    </row>
    <row r="148" spans="2:6" x14ac:dyDescent="0.2">
      <c r="B148" s="156">
        <v>8.8000000000000007</v>
      </c>
      <c r="C148" s="156" t="s">
        <v>23</v>
      </c>
      <c r="D148" s="174"/>
      <c r="E148" s="174"/>
      <c r="F148" s="174"/>
    </row>
    <row r="149" spans="2:6" x14ac:dyDescent="0.2">
      <c r="B149" s="156">
        <v>8.9</v>
      </c>
      <c r="C149" s="156" t="s">
        <v>23</v>
      </c>
      <c r="D149" s="174"/>
      <c r="E149" s="174"/>
      <c r="F149" s="174"/>
    </row>
    <row r="150" spans="2:6" x14ac:dyDescent="0.2">
      <c r="B150" s="156">
        <v>9</v>
      </c>
      <c r="C150" s="156" t="s">
        <v>23</v>
      </c>
      <c r="D150" s="174"/>
      <c r="E150" s="174"/>
      <c r="F150" s="174"/>
    </row>
    <row r="151" spans="2:6" x14ac:dyDescent="0.2">
      <c r="B151" s="156">
        <v>9.1</v>
      </c>
      <c r="C151" s="156" t="s">
        <v>23</v>
      </c>
      <c r="D151" s="174"/>
      <c r="E151" s="174"/>
      <c r="F151" s="174"/>
    </row>
    <row r="152" spans="2:6" x14ac:dyDescent="0.2">
      <c r="B152" s="156">
        <v>9.1999999999999993</v>
      </c>
      <c r="C152" s="156" t="s">
        <v>23</v>
      </c>
      <c r="D152" s="174"/>
      <c r="E152" s="174"/>
      <c r="F152" s="174"/>
    </row>
    <row r="153" spans="2:6" x14ac:dyDescent="0.2">
      <c r="B153" s="156">
        <v>9.3000000000000007</v>
      </c>
      <c r="C153" s="156" t="s">
        <v>23</v>
      </c>
      <c r="D153" s="174"/>
      <c r="E153" s="174"/>
      <c r="F153" s="174"/>
    </row>
    <row r="154" spans="2:6" x14ac:dyDescent="0.2">
      <c r="B154" s="156">
        <v>9.4</v>
      </c>
      <c r="C154" s="156" t="s">
        <v>23</v>
      </c>
      <c r="D154" s="174"/>
      <c r="E154" s="174"/>
      <c r="F154" s="174"/>
    </row>
    <row r="155" spans="2:6" x14ac:dyDescent="0.2">
      <c r="B155" s="156">
        <v>9.5</v>
      </c>
      <c r="C155" s="156" t="s">
        <v>23</v>
      </c>
      <c r="D155" s="174"/>
      <c r="E155" s="174"/>
      <c r="F155" s="174"/>
    </row>
    <row r="156" spans="2:6" x14ac:dyDescent="0.2">
      <c r="B156" s="156">
        <v>9.6</v>
      </c>
      <c r="C156" s="156" t="s">
        <v>23</v>
      </c>
      <c r="D156" s="174"/>
      <c r="E156" s="174"/>
      <c r="F156" s="174"/>
    </row>
    <row r="157" spans="2:6" x14ac:dyDescent="0.2">
      <c r="B157" s="156">
        <v>9.6999999999999993</v>
      </c>
      <c r="C157" s="156" t="s">
        <v>23</v>
      </c>
      <c r="D157" s="174"/>
      <c r="E157" s="174"/>
      <c r="F157" s="174"/>
    </row>
    <row r="158" spans="2:6" x14ac:dyDescent="0.2">
      <c r="B158" s="156">
        <v>9.8000000000000007</v>
      </c>
      <c r="C158" s="156" t="s">
        <v>23</v>
      </c>
      <c r="D158" s="174"/>
      <c r="E158" s="174"/>
      <c r="F158" s="174"/>
    </row>
    <row r="159" spans="2:6" x14ac:dyDescent="0.2">
      <c r="B159" s="156">
        <v>9.9</v>
      </c>
      <c r="C159" s="156" t="s">
        <v>23</v>
      </c>
      <c r="D159" s="174"/>
      <c r="E159" s="174"/>
      <c r="F159" s="174"/>
    </row>
    <row r="160" spans="2:6" x14ac:dyDescent="0.2">
      <c r="B160" s="156">
        <v>10</v>
      </c>
      <c r="C160" s="156" t="s">
        <v>23</v>
      </c>
      <c r="D160" s="174"/>
      <c r="E160" s="174"/>
      <c r="F160" s="174"/>
    </row>
    <row r="161" spans="2:6" x14ac:dyDescent="0.2">
      <c r="B161" s="156">
        <v>10.1</v>
      </c>
      <c r="C161" s="156" t="s">
        <v>23</v>
      </c>
      <c r="D161" s="174"/>
      <c r="E161" s="174"/>
      <c r="F161" s="174"/>
    </row>
    <row r="162" spans="2:6" x14ac:dyDescent="0.2">
      <c r="B162" s="156">
        <v>10.199999999999999</v>
      </c>
      <c r="C162" s="156" t="s">
        <v>23</v>
      </c>
      <c r="D162" s="174"/>
      <c r="E162" s="174"/>
      <c r="F162" s="174"/>
    </row>
    <row r="163" spans="2:6" x14ac:dyDescent="0.2">
      <c r="B163" s="156">
        <v>10.3</v>
      </c>
      <c r="C163" s="156" t="s">
        <v>23</v>
      </c>
      <c r="D163" s="174"/>
      <c r="E163" s="174"/>
      <c r="F163" s="174"/>
    </row>
    <row r="164" spans="2:6" x14ac:dyDescent="0.2">
      <c r="B164" s="156">
        <v>10.4</v>
      </c>
      <c r="C164" s="156" t="s">
        <v>23</v>
      </c>
      <c r="D164" s="174"/>
      <c r="E164" s="174"/>
      <c r="F164" s="174"/>
    </row>
    <row r="165" spans="2:6" x14ac:dyDescent="0.2">
      <c r="B165" s="156">
        <v>10.5</v>
      </c>
      <c r="C165" s="156" t="s">
        <v>23</v>
      </c>
      <c r="D165" s="174"/>
      <c r="E165" s="174"/>
      <c r="F165" s="174"/>
    </row>
    <row r="166" spans="2:6" x14ac:dyDescent="0.2">
      <c r="B166" s="156">
        <v>10.6</v>
      </c>
      <c r="C166" s="156" t="s">
        <v>23</v>
      </c>
      <c r="D166" s="174"/>
      <c r="E166" s="174"/>
      <c r="F166" s="174"/>
    </row>
    <row r="167" spans="2:6" x14ac:dyDescent="0.2">
      <c r="B167" s="156">
        <v>10.7</v>
      </c>
      <c r="C167" s="156" t="s">
        <v>23</v>
      </c>
      <c r="D167" s="174"/>
      <c r="E167" s="174"/>
      <c r="F167" s="174"/>
    </row>
    <row r="168" spans="2:6" x14ac:dyDescent="0.2">
      <c r="B168" s="156">
        <v>10.8</v>
      </c>
      <c r="C168" s="156" t="s">
        <v>23</v>
      </c>
      <c r="D168" s="174"/>
      <c r="E168" s="174"/>
      <c r="F168" s="174"/>
    </row>
    <row r="169" spans="2:6" x14ac:dyDescent="0.2">
      <c r="B169" s="156">
        <v>10.9</v>
      </c>
      <c r="C169" s="156" t="s">
        <v>23</v>
      </c>
      <c r="D169" s="174"/>
      <c r="E169" s="174"/>
      <c r="F169" s="174"/>
    </row>
    <row r="170" spans="2:6" x14ac:dyDescent="0.2">
      <c r="B170" s="156">
        <v>11</v>
      </c>
      <c r="C170" s="156" t="s">
        <v>23</v>
      </c>
      <c r="D170" s="174"/>
      <c r="E170" s="174"/>
      <c r="F170" s="174"/>
    </row>
    <row r="171" spans="2:6" x14ac:dyDescent="0.2">
      <c r="B171" s="156">
        <v>11.1</v>
      </c>
      <c r="C171" s="156" t="s">
        <v>23</v>
      </c>
      <c r="D171" s="174"/>
      <c r="E171" s="174"/>
      <c r="F171" s="174"/>
    </row>
    <row r="172" spans="2:6" x14ac:dyDescent="0.2">
      <c r="B172" s="156">
        <v>11.2</v>
      </c>
      <c r="C172" s="156" t="s">
        <v>23</v>
      </c>
      <c r="D172" s="174"/>
      <c r="E172" s="174"/>
      <c r="F172" s="174"/>
    </row>
    <row r="173" spans="2:6" x14ac:dyDescent="0.2">
      <c r="B173" s="156">
        <v>11.3</v>
      </c>
      <c r="C173" s="156" t="s">
        <v>23</v>
      </c>
      <c r="D173" s="174"/>
      <c r="E173" s="174"/>
      <c r="F173" s="174"/>
    </row>
    <row r="174" spans="2:6" x14ac:dyDescent="0.2">
      <c r="B174" s="156">
        <v>11.4</v>
      </c>
      <c r="C174" s="156" t="s">
        <v>23</v>
      </c>
      <c r="D174" s="174"/>
      <c r="E174" s="174"/>
      <c r="F174" s="174"/>
    </row>
    <row r="175" spans="2:6" x14ac:dyDescent="0.2">
      <c r="B175" s="156">
        <v>11.5</v>
      </c>
      <c r="C175" s="156" t="s">
        <v>23</v>
      </c>
      <c r="D175" s="174"/>
      <c r="E175" s="174"/>
      <c r="F175" s="174"/>
    </row>
    <row r="176" spans="2:6" x14ac:dyDescent="0.2">
      <c r="B176" s="156">
        <v>11.6</v>
      </c>
      <c r="C176" s="156" t="s">
        <v>23</v>
      </c>
      <c r="D176" s="174"/>
      <c r="E176" s="174"/>
      <c r="F176" s="174"/>
    </row>
    <row r="177" spans="2:6" x14ac:dyDescent="0.2">
      <c r="B177" s="156">
        <v>11.7</v>
      </c>
      <c r="C177" s="156" t="s">
        <v>23</v>
      </c>
      <c r="D177" s="174"/>
      <c r="E177" s="174"/>
      <c r="F177" s="174"/>
    </row>
    <row r="178" spans="2:6" x14ac:dyDescent="0.2">
      <c r="B178" s="156">
        <v>11.8</v>
      </c>
      <c r="C178" s="156" t="s">
        <v>23</v>
      </c>
      <c r="D178" s="174"/>
      <c r="E178" s="174"/>
      <c r="F178" s="174"/>
    </row>
    <row r="179" spans="2:6" x14ac:dyDescent="0.2">
      <c r="B179" s="156">
        <v>11.9</v>
      </c>
      <c r="C179" s="156" t="s">
        <v>23</v>
      </c>
      <c r="D179" s="174"/>
      <c r="E179" s="174"/>
      <c r="F179" s="174"/>
    </row>
    <row r="180" spans="2:6" x14ac:dyDescent="0.2">
      <c r="B180" s="156">
        <v>12</v>
      </c>
      <c r="C180" s="156" t="s">
        <v>23</v>
      </c>
      <c r="D180" s="174"/>
      <c r="E180" s="174"/>
      <c r="F180" s="174"/>
    </row>
    <row r="181" spans="2:6" x14ac:dyDescent="0.2">
      <c r="B181" s="156">
        <v>12.1</v>
      </c>
      <c r="C181" s="156" t="s">
        <v>23</v>
      </c>
      <c r="D181" s="174"/>
      <c r="E181" s="174"/>
      <c r="F181" s="174"/>
    </row>
    <row r="182" spans="2:6" x14ac:dyDescent="0.2">
      <c r="B182" s="156">
        <v>12.2</v>
      </c>
      <c r="C182" s="156" t="s">
        <v>23</v>
      </c>
      <c r="D182" s="174"/>
      <c r="E182" s="174"/>
      <c r="F182" s="174"/>
    </row>
    <row r="183" spans="2:6" x14ac:dyDescent="0.2">
      <c r="B183" s="156">
        <v>12.3</v>
      </c>
      <c r="C183" s="156" t="s">
        <v>23</v>
      </c>
      <c r="D183" s="174"/>
      <c r="E183" s="174"/>
      <c r="F183" s="174"/>
    </row>
    <row r="184" spans="2:6" x14ac:dyDescent="0.2">
      <c r="B184" s="156">
        <v>12.4</v>
      </c>
      <c r="C184" s="156" t="s">
        <v>23</v>
      </c>
      <c r="D184" s="174"/>
      <c r="E184" s="174"/>
      <c r="F184" s="174"/>
    </row>
    <row r="185" spans="2:6" x14ac:dyDescent="0.2">
      <c r="B185" s="156">
        <v>12.5</v>
      </c>
      <c r="C185" s="156" t="s">
        <v>23</v>
      </c>
      <c r="D185" s="174"/>
      <c r="E185" s="174"/>
      <c r="F185" s="174"/>
    </row>
    <row r="186" spans="2:6" x14ac:dyDescent="0.2">
      <c r="B186" s="156">
        <v>12.6</v>
      </c>
      <c r="C186" s="156" t="s">
        <v>23</v>
      </c>
      <c r="D186" s="174"/>
      <c r="E186" s="174"/>
      <c r="F186" s="174"/>
    </row>
    <row r="187" spans="2:6" x14ac:dyDescent="0.2">
      <c r="B187" s="156">
        <v>12.7</v>
      </c>
      <c r="C187" s="156" t="s">
        <v>23</v>
      </c>
      <c r="D187" s="174"/>
      <c r="E187" s="174"/>
      <c r="F187" s="174"/>
    </row>
    <row r="188" spans="2:6" x14ac:dyDescent="0.2">
      <c r="B188" s="156">
        <v>12.8</v>
      </c>
      <c r="C188" s="156" t="s">
        <v>23</v>
      </c>
      <c r="D188" s="174"/>
      <c r="E188" s="174"/>
      <c r="F188" s="174"/>
    </row>
    <row r="189" spans="2:6" x14ac:dyDescent="0.2">
      <c r="B189" s="156">
        <v>12.9</v>
      </c>
      <c r="C189" s="156" t="s">
        <v>23</v>
      </c>
      <c r="D189" s="174"/>
      <c r="E189" s="174"/>
      <c r="F189" s="174"/>
    </row>
    <row r="190" spans="2:6" x14ac:dyDescent="0.2">
      <c r="B190" s="156">
        <v>13</v>
      </c>
      <c r="C190" s="156" t="s">
        <v>23</v>
      </c>
      <c r="D190" s="174"/>
      <c r="E190" s="174"/>
      <c r="F190" s="174"/>
    </row>
    <row r="191" spans="2:6" x14ac:dyDescent="0.2">
      <c r="B191" s="156">
        <v>13.1</v>
      </c>
      <c r="C191" s="156" t="s">
        <v>23</v>
      </c>
      <c r="D191" s="174"/>
      <c r="E191" s="174"/>
      <c r="F191" s="174"/>
    </row>
    <row r="192" spans="2:6" x14ac:dyDescent="0.2">
      <c r="B192" s="156">
        <v>13.2</v>
      </c>
      <c r="C192" s="156" t="s">
        <v>23</v>
      </c>
      <c r="D192" s="174"/>
      <c r="E192" s="174"/>
      <c r="F192" s="174"/>
    </row>
    <row r="193" spans="2:6" x14ac:dyDescent="0.2">
      <c r="B193" s="156">
        <v>13.3</v>
      </c>
      <c r="C193" s="156" t="s">
        <v>23</v>
      </c>
      <c r="D193" s="174"/>
      <c r="E193" s="174"/>
      <c r="F193" s="174"/>
    </row>
    <row r="194" spans="2:6" x14ac:dyDescent="0.2">
      <c r="B194" s="156">
        <v>13.4</v>
      </c>
      <c r="C194" s="156" t="s">
        <v>23</v>
      </c>
      <c r="D194" s="174"/>
      <c r="E194" s="174"/>
      <c r="F194" s="174"/>
    </row>
    <row r="195" spans="2:6" x14ac:dyDescent="0.2">
      <c r="B195" s="156">
        <v>13.5</v>
      </c>
      <c r="C195" s="156" t="s">
        <v>23</v>
      </c>
      <c r="D195" s="174"/>
      <c r="E195" s="174"/>
      <c r="F195" s="174"/>
    </row>
    <row r="196" spans="2:6" x14ac:dyDescent="0.2">
      <c r="B196" s="156">
        <v>13.6</v>
      </c>
      <c r="C196" s="156" t="s">
        <v>23</v>
      </c>
      <c r="D196" s="174"/>
      <c r="E196" s="174"/>
      <c r="F196" s="174"/>
    </row>
    <row r="197" spans="2:6" x14ac:dyDescent="0.2">
      <c r="B197" s="156">
        <v>13.7</v>
      </c>
      <c r="C197" s="156" t="s">
        <v>23</v>
      </c>
      <c r="D197" s="174"/>
      <c r="E197" s="174"/>
      <c r="F197" s="174"/>
    </row>
    <row r="198" spans="2:6" x14ac:dyDescent="0.2">
      <c r="B198" s="156">
        <v>13.8</v>
      </c>
      <c r="C198" s="156" t="s">
        <v>23</v>
      </c>
      <c r="D198" s="174"/>
      <c r="E198" s="174"/>
      <c r="F198" s="174"/>
    </row>
    <row r="199" spans="2:6" x14ac:dyDescent="0.2">
      <c r="B199" s="156">
        <v>13.9</v>
      </c>
      <c r="C199" s="156" t="s">
        <v>23</v>
      </c>
      <c r="D199" s="174"/>
      <c r="E199" s="174"/>
      <c r="F199" s="174"/>
    </row>
    <row r="200" spans="2:6" x14ac:dyDescent="0.2">
      <c r="B200" s="156">
        <v>14</v>
      </c>
      <c r="C200" s="156" t="s">
        <v>23</v>
      </c>
      <c r="D200" s="174"/>
      <c r="E200" s="174"/>
      <c r="F200" s="174"/>
    </row>
    <row r="201" spans="2:6" x14ac:dyDescent="0.2">
      <c r="B201" s="156">
        <v>14.1</v>
      </c>
      <c r="C201" s="156" t="s">
        <v>23</v>
      </c>
      <c r="D201" s="174"/>
      <c r="E201" s="174"/>
      <c r="F201" s="174"/>
    </row>
    <row r="202" spans="2:6" x14ac:dyDescent="0.2">
      <c r="B202" s="156">
        <v>14.2</v>
      </c>
      <c r="C202" s="156" t="s">
        <v>23</v>
      </c>
      <c r="D202" s="174"/>
      <c r="E202" s="174"/>
      <c r="F202" s="174"/>
    </row>
    <row r="203" spans="2:6" x14ac:dyDescent="0.2">
      <c r="B203" s="156">
        <v>14.3</v>
      </c>
      <c r="C203" s="156" t="s">
        <v>23</v>
      </c>
      <c r="D203" s="174"/>
      <c r="E203" s="174"/>
      <c r="F203" s="174"/>
    </row>
    <row r="204" spans="2:6" x14ac:dyDescent="0.2">
      <c r="B204" s="156">
        <v>14.4</v>
      </c>
      <c r="C204" s="156" t="s">
        <v>23</v>
      </c>
      <c r="D204" s="174"/>
      <c r="E204" s="174"/>
      <c r="F204" s="174"/>
    </row>
    <row r="205" spans="2:6" x14ac:dyDescent="0.2">
      <c r="B205" s="156">
        <v>14.5</v>
      </c>
      <c r="C205" s="156" t="s">
        <v>23</v>
      </c>
      <c r="D205" s="174"/>
      <c r="E205" s="174"/>
      <c r="F205" s="174"/>
    </row>
    <row r="206" spans="2:6" x14ac:dyDescent="0.2">
      <c r="B206" s="156">
        <v>14.6</v>
      </c>
      <c r="C206" s="156" t="s">
        <v>23</v>
      </c>
      <c r="D206" s="174"/>
      <c r="E206" s="174"/>
      <c r="F206" s="174"/>
    </row>
    <row r="207" spans="2:6" x14ac:dyDescent="0.2">
      <c r="B207" s="156">
        <v>14.7</v>
      </c>
      <c r="C207" s="156" t="s">
        <v>23</v>
      </c>
      <c r="D207" s="174"/>
      <c r="E207" s="174"/>
      <c r="F207" s="174"/>
    </row>
    <row r="208" spans="2:6" x14ac:dyDescent="0.2">
      <c r="B208" s="156">
        <v>14.8</v>
      </c>
      <c r="C208" s="156" t="s">
        <v>23</v>
      </c>
      <c r="D208" s="174"/>
      <c r="E208" s="174"/>
      <c r="F208" s="174"/>
    </row>
    <row r="209" spans="2:6" x14ac:dyDescent="0.2">
      <c r="B209" s="156">
        <v>14.9</v>
      </c>
      <c r="C209" s="156" t="s">
        <v>23</v>
      </c>
      <c r="D209" s="174"/>
      <c r="E209" s="174"/>
      <c r="F209" s="174"/>
    </row>
    <row r="210" spans="2:6" x14ac:dyDescent="0.2">
      <c r="B210" s="156">
        <v>15</v>
      </c>
      <c r="C210" s="156" t="s">
        <v>23</v>
      </c>
      <c r="D210" s="174"/>
      <c r="E210" s="174"/>
      <c r="F210" s="174"/>
    </row>
    <row r="211" spans="2:6" x14ac:dyDescent="0.2">
      <c r="B211" s="156">
        <v>15.1</v>
      </c>
      <c r="C211" s="156" t="s">
        <v>23</v>
      </c>
      <c r="D211" s="174"/>
      <c r="E211" s="174"/>
      <c r="F211" s="174"/>
    </row>
    <row r="212" spans="2:6" x14ac:dyDescent="0.2">
      <c r="B212" s="156">
        <v>15.2</v>
      </c>
      <c r="C212" s="156" t="s">
        <v>23</v>
      </c>
      <c r="D212" s="174"/>
      <c r="E212" s="174"/>
      <c r="F212" s="174"/>
    </row>
    <row r="213" spans="2:6" x14ac:dyDescent="0.2">
      <c r="B213" s="156">
        <v>15.3</v>
      </c>
      <c r="C213" s="156" t="s">
        <v>23</v>
      </c>
      <c r="D213" s="174"/>
      <c r="E213" s="174"/>
      <c r="F213" s="174"/>
    </row>
    <row r="214" spans="2:6" x14ac:dyDescent="0.2">
      <c r="B214" s="156">
        <v>15.4</v>
      </c>
      <c r="C214" s="156" t="s">
        <v>23</v>
      </c>
      <c r="D214" s="174"/>
      <c r="E214" s="174"/>
      <c r="F214" s="174"/>
    </row>
    <row r="215" spans="2:6" x14ac:dyDescent="0.2">
      <c r="B215" s="156">
        <v>15.5</v>
      </c>
      <c r="C215" s="156" t="s">
        <v>23</v>
      </c>
      <c r="D215" s="174"/>
      <c r="E215" s="174"/>
      <c r="F215" s="174"/>
    </row>
    <row r="216" spans="2:6" x14ac:dyDescent="0.2">
      <c r="B216" s="156">
        <v>15.6</v>
      </c>
      <c r="C216" s="156" t="s">
        <v>23</v>
      </c>
      <c r="D216" s="174"/>
      <c r="E216" s="174"/>
      <c r="F216" s="174"/>
    </row>
    <row r="217" spans="2:6" x14ac:dyDescent="0.2">
      <c r="B217" s="156">
        <v>15.7</v>
      </c>
      <c r="C217" s="156" t="s">
        <v>23</v>
      </c>
      <c r="D217" s="174"/>
      <c r="E217" s="174"/>
      <c r="F217" s="174"/>
    </row>
    <row r="218" spans="2:6" x14ac:dyDescent="0.2">
      <c r="B218" s="156">
        <v>15.8</v>
      </c>
      <c r="C218" s="156" t="s">
        <v>23</v>
      </c>
      <c r="D218" s="174"/>
      <c r="E218" s="174"/>
      <c r="F218" s="174"/>
    </row>
    <row r="219" spans="2:6" x14ac:dyDescent="0.2">
      <c r="B219" s="156">
        <v>15.9</v>
      </c>
      <c r="C219" s="156" t="s">
        <v>23</v>
      </c>
      <c r="D219" s="174"/>
      <c r="E219" s="174"/>
      <c r="F219" s="174"/>
    </row>
    <row r="220" spans="2:6" x14ac:dyDescent="0.2">
      <c r="B220" s="156">
        <v>16</v>
      </c>
      <c r="C220" s="156" t="s">
        <v>23</v>
      </c>
      <c r="D220" s="174"/>
      <c r="E220" s="174"/>
      <c r="F220" s="174"/>
    </row>
    <row r="221" spans="2:6" x14ac:dyDescent="0.2">
      <c r="B221" s="156">
        <v>16.100000000000001</v>
      </c>
      <c r="C221" s="156" t="s">
        <v>23</v>
      </c>
      <c r="D221" s="174"/>
      <c r="E221" s="174"/>
      <c r="F221" s="174"/>
    </row>
    <row r="222" spans="2:6" x14ac:dyDescent="0.2">
      <c r="B222" s="156">
        <v>16.2</v>
      </c>
      <c r="C222" s="156" t="s">
        <v>23</v>
      </c>
      <c r="D222" s="174"/>
      <c r="E222" s="174"/>
      <c r="F222" s="174"/>
    </row>
    <row r="223" spans="2:6" x14ac:dyDescent="0.2">
      <c r="B223" s="156">
        <v>16.3</v>
      </c>
      <c r="C223" s="156" t="s">
        <v>23</v>
      </c>
      <c r="D223" s="174"/>
      <c r="E223" s="174"/>
      <c r="F223" s="174"/>
    </row>
    <row r="224" spans="2:6" x14ac:dyDescent="0.2">
      <c r="B224" s="156">
        <v>16.399999999999999</v>
      </c>
      <c r="C224" s="156" t="s">
        <v>23</v>
      </c>
      <c r="D224" s="174"/>
      <c r="E224" s="174"/>
      <c r="F224" s="174"/>
    </row>
    <row r="225" spans="2:6" x14ac:dyDescent="0.2">
      <c r="B225" s="156">
        <v>16.5</v>
      </c>
      <c r="C225" s="156" t="s">
        <v>23</v>
      </c>
      <c r="D225" s="174"/>
      <c r="E225" s="174"/>
      <c r="F225" s="174"/>
    </row>
    <row r="226" spans="2:6" x14ac:dyDescent="0.2">
      <c r="B226" s="156">
        <v>16.600000000000001</v>
      </c>
      <c r="C226" s="156" t="s">
        <v>23</v>
      </c>
      <c r="D226" s="174"/>
      <c r="E226" s="174"/>
      <c r="F226" s="174"/>
    </row>
    <row r="227" spans="2:6" x14ac:dyDescent="0.2">
      <c r="B227" s="156">
        <v>16.7</v>
      </c>
      <c r="C227" s="156" t="s">
        <v>23</v>
      </c>
      <c r="D227" s="174"/>
      <c r="E227" s="174"/>
      <c r="F227" s="174"/>
    </row>
    <row r="228" spans="2:6" x14ac:dyDescent="0.2">
      <c r="B228" s="156">
        <v>16.8</v>
      </c>
      <c r="C228" s="156" t="s">
        <v>23</v>
      </c>
      <c r="D228" s="174"/>
      <c r="E228" s="174"/>
      <c r="F228" s="174"/>
    </row>
    <row r="229" spans="2:6" x14ac:dyDescent="0.2">
      <c r="B229" s="156">
        <v>16.899999999999999</v>
      </c>
      <c r="C229" s="156" t="s">
        <v>23</v>
      </c>
      <c r="D229" s="174"/>
      <c r="E229" s="174"/>
      <c r="F229" s="174"/>
    </row>
    <row r="230" spans="2:6" x14ac:dyDescent="0.2">
      <c r="B230" s="156">
        <v>17</v>
      </c>
      <c r="C230" s="156" t="s">
        <v>23</v>
      </c>
      <c r="D230" s="174"/>
      <c r="E230" s="174"/>
      <c r="F230" s="174"/>
    </row>
    <row r="231" spans="2:6" x14ac:dyDescent="0.2">
      <c r="B231" s="156">
        <v>17.100000000000001</v>
      </c>
      <c r="C231" s="156" t="s">
        <v>23</v>
      </c>
      <c r="D231" s="174"/>
      <c r="E231" s="174"/>
      <c r="F231" s="174"/>
    </row>
    <row r="232" spans="2:6" x14ac:dyDescent="0.2">
      <c r="B232" s="156">
        <v>17.2</v>
      </c>
      <c r="C232" s="156" t="s">
        <v>23</v>
      </c>
      <c r="D232" s="174"/>
      <c r="E232" s="174"/>
      <c r="F232" s="174"/>
    </row>
    <row r="233" spans="2:6" x14ac:dyDescent="0.2">
      <c r="B233" s="156">
        <v>17.3</v>
      </c>
      <c r="C233" s="156" t="s">
        <v>23</v>
      </c>
      <c r="D233" s="174"/>
      <c r="E233" s="174"/>
      <c r="F233" s="174"/>
    </row>
    <row r="234" spans="2:6" x14ac:dyDescent="0.2">
      <c r="B234" s="156">
        <v>17.399999999999999</v>
      </c>
      <c r="C234" s="156" t="s">
        <v>23</v>
      </c>
      <c r="D234" s="174"/>
      <c r="E234" s="174"/>
      <c r="F234" s="174"/>
    </row>
    <row r="235" spans="2:6" x14ac:dyDescent="0.2">
      <c r="B235" s="156">
        <v>17.5</v>
      </c>
      <c r="C235" s="156" t="s">
        <v>23</v>
      </c>
      <c r="D235" s="174"/>
      <c r="E235" s="174"/>
      <c r="F235" s="174"/>
    </row>
    <row r="236" spans="2:6" x14ac:dyDescent="0.2">
      <c r="B236" s="156">
        <v>17.600000000000001</v>
      </c>
      <c r="C236" s="156" t="s">
        <v>23</v>
      </c>
      <c r="D236" s="174"/>
      <c r="E236" s="174"/>
      <c r="F236" s="174"/>
    </row>
    <row r="237" spans="2:6" x14ac:dyDescent="0.2">
      <c r="B237" s="156">
        <v>17.7</v>
      </c>
      <c r="C237" s="156" t="s">
        <v>23</v>
      </c>
      <c r="D237" s="174"/>
      <c r="E237" s="174"/>
      <c r="F237" s="174"/>
    </row>
    <row r="238" spans="2:6" x14ac:dyDescent="0.2">
      <c r="B238" s="156">
        <v>17.8</v>
      </c>
      <c r="C238" s="156" t="s">
        <v>23</v>
      </c>
      <c r="D238" s="174"/>
      <c r="E238" s="174"/>
      <c r="F238" s="174"/>
    </row>
    <row r="239" spans="2:6" x14ac:dyDescent="0.2">
      <c r="B239" s="156">
        <v>17.899999999999999</v>
      </c>
      <c r="C239" s="156" t="s">
        <v>23</v>
      </c>
      <c r="D239" s="174"/>
      <c r="E239" s="174"/>
      <c r="F239" s="174"/>
    </row>
    <row r="240" spans="2:6" x14ac:dyDescent="0.2">
      <c r="B240" s="156">
        <v>18</v>
      </c>
      <c r="C240" s="156" t="s">
        <v>23</v>
      </c>
      <c r="D240" s="174"/>
      <c r="E240" s="174"/>
      <c r="F240" s="174"/>
    </row>
    <row r="241" spans="2:6" x14ac:dyDescent="0.2">
      <c r="B241" s="156">
        <v>18.100000000000001</v>
      </c>
      <c r="C241" s="156" t="s">
        <v>23</v>
      </c>
      <c r="D241" s="174"/>
      <c r="E241" s="174"/>
      <c r="F241" s="174"/>
    </row>
    <row r="242" spans="2:6" x14ac:dyDescent="0.2">
      <c r="B242" s="156">
        <v>18.2</v>
      </c>
      <c r="C242" s="156" t="s">
        <v>23</v>
      </c>
      <c r="D242" s="174"/>
      <c r="E242" s="174"/>
      <c r="F242" s="174"/>
    </row>
    <row r="243" spans="2:6" x14ac:dyDescent="0.2">
      <c r="B243" s="156">
        <v>18.3</v>
      </c>
      <c r="C243" s="156" t="s">
        <v>23</v>
      </c>
      <c r="D243" s="174"/>
      <c r="E243" s="174"/>
      <c r="F243" s="174"/>
    </row>
    <row r="244" spans="2:6" x14ac:dyDescent="0.2">
      <c r="B244" s="156">
        <v>18.399999999999999</v>
      </c>
      <c r="C244" s="156" t="s">
        <v>23</v>
      </c>
      <c r="D244" s="174"/>
      <c r="E244" s="174"/>
      <c r="F244" s="174"/>
    </row>
    <row r="245" spans="2:6" x14ac:dyDescent="0.2">
      <c r="B245" s="156">
        <v>18.5</v>
      </c>
      <c r="C245" s="156" t="s">
        <v>23</v>
      </c>
      <c r="D245" s="174"/>
      <c r="E245" s="174"/>
      <c r="F245" s="174"/>
    </row>
    <row r="246" spans="2:6" x14ac:dyDescent="0.2">
      <c r="B246" s="156">
        <v>18.600000000000001</v>
      </c>
      <c r="C246" s="156" t="s">
        <v>23</v>
      </c>
      <c r="D246" s="174"/>
      <c r="E246" s="174"/>
      <c r="F246" s="174"/>
    </row>
    <row r="247" spans="2:6" x14ac:dyDescent="0.2">
      <c r="B247" s="156">
        <v>18.7</v>
      </c>
      <c r="C247" s="156" t="s">
        <v>23</v>
      </c>
      <c r="D247" s="174"/>
      <c r="E247" s="174"/>
      <c r="F247" s="174"/>
    </row>
    <row r="248" spans="2:6" x14ac:dyDescent="0.2">
      <c r="B248" s="156">
        <v>18.8</v>
      </c>
      <c r="C248" s="156" t="s">
        <v>23</v>
      </c>
      <c r="D248" s="174"/>
      <c r="E248" s="174"/>
      <c r="F248" s="174"/>
    </row>
    <row r="249" spans="2:6" x14ac:dyDescent="0.2">
      <c r="B249" s="156">
        <v>18.899999999999999</v>
      </c>
      <c r="C249" s="156" t="s">
        <v>23</v>
      </c>
      <c r="D249" s="174"/>
      <c r="E249" s="174"/>
      <c r="F249" s="174"/>
    </row>
    <row r="250" spans="2:6" x14ac:dyDescent="0.2">
      <c r="B250" s="156">
        <v>19</v>
      </c>
      <c r="C250" s="156" t="s">
        <v>23</v>
      </c>
      <c r="D250" s="174"/>
      <c r="E250" s="174"/>
      <c r="F250" s="174"/>
    </row>
    <row r="251" spans="2:6" x14ac:dyDescent="0.2">
      <c r="B251" s="156">
        <v>19.100000000000001</v>
      </c>
      <c r="C251" s="156" t="s">
        <v>23</v>
      </c>
      <c r="D251" s="174"/>
      <c r="E251" s="174"/>
      <c r="F251" s="174"/>
    </row>
    <row r="252" spans="2:6" x14ac:dyDescent="0.2">
      <c r="B252" s="156">
        <v>19.2</v>
      </c>
      <c r="C252" s="156" t="s">
        <v>23</v>
      </c>
      <c r="D252" s="174"/>
      <c r="E252" s="174"/>
      <c r="F252" s="174"/>
    </row>
    <row r="253" spans="2:6" x14ac:dyDescent="0.2">
      <c r="B253" s="156">
        <v>19.3</v>
      </c>
      <c r="C253" s="156" t="s">
        <v>23</v>
      </c>
      <c r="D253" s="174"/>
      <c r="E253" s="174"/>
      <c r="F253" s="174"/>
    </row>
    <row r="254" spans="2:6" x14ac:dyDescent="0.2">
      <c r="B254" s="156">
        <v>19.399999999999999</v>
      </c>
      <c r="C254" s="156" t="s">
        <v>23</v>
      </c>
      <c r="D254" s="174"/>
      <c r="E254" s="174"/>
      <c r="F254" s="174"/>
    </row>
    <row r="255" spans="2:6" x14ac:dyDescent="0.2">
      <c r="B255" s="156">
        <v>19.5</v>
      </c>
      <c r="C255" s="156" t="s">
        <v>23</v>
      </c>
      <c r="D255" s="174"/>
      <c r="E255" s="174"/>
      <c r="F255" s="174"/>
    </row>
    <row r="256" spans="2:6" x14ac:dyDescent="0.2">
      <c r="B256" s="156">
        <v>19.600000000000001</v>
      </c>
      <c r="C256" s="156" t="s">
        <v>23</v>
      </c>
      <c r="D256" s="174"/>
      <c r="E256" s="174"/>
      <c r="F256" s="174"/>
    </row>
    <row r="257" spans="2:6" x14ac:dyDescent="0.2">
      <c r="B257" s="156">
        <v>19.7</v>
      </c>
      <c r="C257" s="156" t="s">
        <v>23</v>
      </c>
      <c r="D257" s="174"/>
      <c r="E257" s="174"/>
      <c r="F257" s="174"/>
    </row>
    <row r="258" spans="2:6" x14ac:dyDescent="0.2">
      <c r="B258" s="156">
        <v>19.8</v>
      </c>
      <c r="C258" s="156" t="s">
        <v>23</v>
      </c>
      <c r="D258" s="174"/>
      <c r="E258" s="174"/>
      <c r="F258" s="174"/>
    </row>
    <row r="259" spans="2:6" x14ac:dyDescent="0.2">
      <c r="B259" s="156">
        <v>19.899999999999999</v>
      </c>
      <c r="C259" s="156" t="s">
        <v>23</v>
      </c>
      <c r="D259" s="174"/>
      <c r="E259" s="174"/>
      <c r="F259" s="174"/>
    </row>
    <row r="260" spans="2:6" x14ac:dyDescent="0.2">
      <c r="B260" s="156">
        <v>20</v>
      </c>
      <c r="C260" s="156" t="s">
        <v>23</v>
      </c>
      <c r="D260" s="174"/>
      <c r="E260" s="174"/>
      <c r="F260" s="174"/>
    </row>
    <row r="261" spans="2:6" x14ac:dyDescent="0.2">
      <c r="B261" s="156">
        <v>20.100000000000001</v>
      </c>
      <c r="C261" s="156" t="s">
        <v>23</v>
      </c>
      <c r="D261" s="174"/>
      <c r="E261" s="174"/>
      <c r="F261" s="174"/>
    </row>
    <row r="262" spans="2:6" x14ac:dyDescent="0.2">
      <c r="B262" s="156">
        <v>20.2</v>
      </c>
      <c r="C262" s="156" t="s">
        <v>23</v>
      </c>
      <c r="D262" s="174"/>
      <c r="E262" s="174"/>
      <c r="F262" s="174"/>
    </row>
    <row r="263" spans="2:6" x14ac:dyDescent="0.2">
      <c r="B263" s="156">
        <v>20.3</v>
      </c>
      <c r="C263" s="156" t="s">
        <v>23</v>
      </c>
      <c r="D263" s="174"/>
      <c r="E263" s="174"/>
      <c r="F263" s="174"/>
    </row>
    <row r="264" spans="2:6" x14ac:dyDescent="0.2">
      <c r="B264" s="156">
        <v>20.399999999999999</v>
      </c>
      <c r="C264" s="156" t="s">
        <v>23</v>
      </c>
      <c r="D264" s="174"/>
      <c r="E264" s="174"/>
      <c r="F264" s="174"/>
    </row>
    <row r="265" spans="2:6" x14ac:dyDescent="0.2">
      <c r="B265" s="156">
        <v>20.5</v>
      </c>
      <c r="C265" s="156" t="s">
        <v>23</v>
      </c>
      <c r="D265" s="174"/>
      <c r="E265" s="174"/>
      <c r="F265" s="174"/>
    </row>
    <row r="266" spans="2:6" x14ac:dyDescent="0.2">
      <c r="B266" s="156">
        <v>20.6</v>
      </c>
      <c r="C266" s="156" t="s">
        <v>23</v>
      </c>
      <c r="D266" s="174"/>
      <c r="E266" s="174"/>
      <c r="F266" s="174"/>
    </row>
    <row r="267" spans="2:6" x14ac:dyDescent="0.2">
      <c r="B267" s="156">
        <v>20.7</v>
      </c>
      <c r="C267" s="156" t="s">
        <v>23</v>
      </c>
      <c r="D267" s="174"/>
      <c r="E267" s="174"/>
      <c r="F267" s="174"/>
    </row>
    <row r="268" spans="2:6" x14ac:dyDescent="0.2">
      <c r="B268" s="156">
        <v>20.8</v>
      </c>
      <c r="C268" s="156" t="s">
        <v>23</v>
      </c>
      <c r="D268" s="174"/>
      <c r="E268" s="174"/>
      <c r="F268" s="174"/>
    </row>
    <row r="269" spans="2:6" x14ac:dyDescent="0.2">
      <c r="B269" s="156">
        <v>20.9</v>
      </c>
      <c r="C269" s="156" t="s">
        <v>23</v>
      </c>
      <c r="D269" s="174"/>
      <c r="E269" s="174"/>
      <c r="F269" s="174"/>
    </row>
    <row r="270" spans="2:6" x14ac:dyDescent="0.2">
      <c r="B270" s="156">
        <v>21</v>
      </c>
      <c r="C270" s="156" t="s">
        <v>23</v>
      </c>
      <c r="D270" s="174"/>
      <c r="E270" s="174"/>
      <c r="F270" s="174"/>
    </row>
    <row r="271" spans="2:6" x14ac:dyDescent="0.2">
      <c r="B271" s="156">
        <v>21.1</v>
      </c>
      <c r="C271" s="156" t="s">
        <v>23</v>
      </c>
      <c r="D271" s="174"/>
      <c r="E271" s="174"/>
      <c r="F271" s="174"/>
    </row>
    <row r="272" spans="2:6" x14ac:dyDescent="0.2">
      <c r="B272" s="156">
        <v>21.2</v>
      </c>
      <c r="C272" s="156" t="s">
        <v>23</v>
      </c>
      <c r="D272" s="174"/>
      <c r="E272" s="174"/>
      <c r="F272" s="174"/>
    </row>
    <row r="273" spans="2:6" x14ac:dyDescent="0.2">
      <c r="B273" s="156">
        <v>21.3</v>
      </c>
      <c r="C273" s="156" t="s">
        <v>23</v>
      </c>
      <c r="D273" s="174"/>
      <c r="E273" s="174"/>
      <c r="F273" s="174"/>
    </row>
    <row r="274" spans="2:6" x14ac:dyDescent="0.2">
      <c r="B274" s="156">
        <v>21.4</v>
      </c>
      <c r="C274" s="156" t="s">
        <v>23</v>
      </c>
      <c r="D274" s="174"/>
      <c r="E274" s="174"/>
      <c r="F274" s="174"/>
    </row>
    <row r="275" spans="2:6" x14ac:dyDescent="0.2">
      <c r="B275" s="156">
        <v>21.5</v>
      </c>
      <c r="C275" s="156" t="s">
        <v>23</v>
      </c>
      <c r="D275" s="174"/>
      <c r="E275" s="174"/>
      <c r="F275" s="174"/>
    </row>
    <row r="276" spans="2:6" x14ac:dyDescent="0.2">
      <c r="B276" s="156">
        <v>21.6</v>
      </c>
      <c r="C276" s="156" t="s">
        <v>23</v>
      </c>
      <c r="D276" s="174"/>
      <c r="E276" s="174"/>
      <c r="F276" s="174"/>
    </row>
    <row r="277" spans="2:6" x14ac:dyDescent="0.2">
      <c r="B277" s="156">
        <v>21.7</v>
      </c>
      <c r="C277" s="156" t="s">
        <v>23</v>
      </c>
      <c r="D277" s="174"/>
      <c r="E277" s="174"/>
      <c r="F277" s="174"/>
    </row>
    <row r="278" spans="2:6" x14ac:dyDescent="0.2">
      <c r="B278" s="156">
        <v>21.8</v>
      </c>
      <c r="C278" s="156" t="s">
        <v>23</v>
      </c>
      <c r="D278" s="174"/>
      <c r="E278" s="174"/>
      <c r="F278" s="174"/>
    </row>
    <row r="279" spans="2:6" x14ac:dyDescent="0.2">
      <c r="B279" s="156">
        <v>21.9</v>
      </c>
      <c r="C279" s="156" t="s">
        <v>23</v>
      </c>
      <c r="D279" s="174"/>
      <c r="E279" s="174"/>
      <c r="F279" s="174"/>
    </row>
    <row r="280" spans="2:6" x14ac:dyDescent="0.2">
      <c r="B280" s="156">
        <v>22</v>
      </c>
      <c r="C280" s="156" t="s">
        <v>23</v>
      </c>
      <c r="D280" s="174"/>
      <c r="E280" s="174"/>
      <c r="F280" s="174"/>
    </row>
    <row r="281" spans="2:6" x14ac:dyDescent="0.2">
      <c r="B281" s="156">
        <v>22.1</v>
      </c>
      <c r="C281" s="156" t="s">
        <v>23</v>
      </c>
      <c r="D281" s="174"/>
      <c r="E281" s="174"/>
      <c r="F281" s="174"/>
    </row>
    <row r="282" spans="2:6" x14ac:dyDescent="0.2">
      <c r="B282" s="156">
        <v>22.2</v>
      </c>
      <c r="C282" s="156" t="s">
        <v>23</v>
      </c>
      <c r="D282" s="174"/>
      <c r="E282" s="174"/>
      <c r="F282" s="174"/>
    </row>
    <row r="283" spans="2:6" x14ac:dyDescent="0.2">
      <c r="B283" s="156">
        <v>22.3</v>
      </c>
      <c r="C283" s="156" t="s">
        <v>23</v>
      </c>
      <c r="D283" s="174"/>
      <c r="E283" s="174"/>
      <c r="F283" s="174"/>
    </row>
    <row r="284" spans="2:6" x14ac:dyDescent="0.2">
      <c r="B284" s="156">
        <v>22.4</v>
      </c>
      <c r="C284" s="156" t="s">
        <v>23</v>
      </c>
      <c r="D284" s="174"/>
      <c r="E284" s="174"/>
      <c r="F284" s="174"/>
    </row>
    <row r="285" spans="2:6" x14ac:dyDescent="0.2">
      <c r="B285" s="156">
        <v>22.5</v>
      </c>
      <c r="C285" s="156" t="s">
        <v>23</v>
      </c>
      <c r="D285" s="174"/>
      <c r="E285" s="174"/>
      <c r="F285" s="174"/>
    </row>
    <row r="286" spans="2:6" x14ac:dyDescent="0.2">
      <c r="B286" s="156">
        <v>22.6</v>
      </c>
      <c r="C286" s="156" t="s">
        <v>23</v>
      </c>
      <c r="D286" s="174"/>
      <c r="E286" s="174"/>
      <c r="F286" s="174"/>
    </row>
    <row r="287" spans="2:6" x14ac:dyDescent="0.2">
      <c r="B287" s="156">
        <v>22.7</v>
      </c>
      <c r="C287" s="156" t="s">
        <v>23</v>
      </c>
      <c r="D287" s="174"/>
      <c r="E287" s="174"/>
      <c r="F287" s="174"/>
    </row>
    <row r="288" spans="2:6" x14ac:dyDescent="0.2">
      <c r="B288" s="156">
        <v>22.8</v>
      </c>
      <c r="C288" s="156" t="s">
        <v>23</v>
      </c>
      <c r="D288" s="174"/>
      <c r="E288" s="174"/>
      <c r="F288" s="174"/>
    </row>
    <row r="289" spans="2:6" x14ac:dyDescent="0.2">
      <c r="B289" s="156">
        <v>22.9</v>
      </c>
      <c r="C289" s="156" t="s">
        <v>23</v>
      </c>
      <c r="D289" s="174"/>
      <c r="E289" s="174"/>
      <c r="F289" s="174"/>
    </row>
    <row r="290" spans="2:6" x14ac:dyDescent="0.2">
      <c r="B290" s="156">
        <v>23</v>
      </c>
      <c r="C290" s="156" t="s">
        <v>23</v>
      </c>
      <c r="D290" s="174"/>
      <c r="E290" s="174"/>
      <c r="F290" s="174"/>
    </row>
    <row r="291" spans="2:6" x14ac:dyDescent="0.2">
      <c r="B291" s="156">
        <v>23.1</v>
      </c>
      <c r="C291" s="156" t="s">
        <v>23</v>
      </c>
      <c r="D291" s="174"/>
      <c r="E291" s="174"/>
      <c r="F291" s="174"/>
    </row>
    <row r="292" spans="2:6" x14ac:dyDescent="0.2">
      <c r="B292" s="156">
        <v>23.2</v>
      </c>
      <c r="C292" s="156" t="s">
        <v>23</v>
      </c>
      <c r="D292" s="174"/>
      <c r="E292" s="174"/>
      <c r="F292" s="174"/>
    </row>
    <row r="293" spans="2:6" x14ac:dyDescent="0.2">
      <c r="B293" s="156">
        <v>23.3</v>
      </c>
      <c r="C293" s="156" t="s">
        <v>23</v>
      </c>
      <c r="D293" s="174"/>
      <c r="E293" s="174"/>
      <c r="F293" s="174"/>
    </row>
    <row r="294" spans="2:6" x14ac:dyDescent="0.2">
      <c r="B294" s="156">
        <v>23.4</v>
      </c>
      <c r="C294" s="156" t="s">
        <v>23</v>
      </c>
      <c r="D294" s="174"/>
      <c r="E294" s="174"/>
      <c r="F294" s="174"/>
    </row>
    <row r="295" spans="2:6" x14ac:dyDescent="0.2">
      <c r="B295" s="156">
        <v>23.5</v>
      </c>
      <c r="C295" s="156" t="s">
        <v>23</v>
      </c>
      <c r="D295" s="174"/>
      <c r="E295" s="174"/>
      <c r="F295" s="174"/>
    </row>
    <row r="296" spans="2:6" x14ac:dyDescent="0.2">
      <c r="B296" s="156">
        <v>23.6</v>
      </c>
      <c r="C296" s="156" t="s">
        <v>23</v>
      </c>
      <c r="D296" s="174"/>
      <c r="E296" s="174"/>
      <c r="F296" s="174"/>
    </row>
    <row r="297" spans="2:6" x14ac:dyDescent="0.2">
      <c r="B297" s="156">
        <v>23.7</v>
      </c>
      <c r="C297" s="156" t="s">
        <v>23</v>
      </c>
      <c r="D297" s="174"/>
      <c r="E297" s="174"/>
      <c r="F297" s="174"/>
    </row>
    <row r="298" spans="2:6" x14ac:dyDescent="0.2">
      <c r="B298" s="156">
        <v>23.8</v>
      </c>
      <c r="C298" s="156" t="s">
        <v>23</v>
      </c>
      <c r="D298" s="174"/>
      <c r="E298" s="174"/>
      <c r="F298" s="174"/>
    </row>
    <row r="299" spans="2:6" x14ac:dyDescent="0.2">
      <c r="B299" s="156">
        <v>23.9</v>
      </c>
      <c r="C299" s="156" t="s">
        <v>23</v>
      </c>
      <c r="D299" s="174"/>
      <c r="E299" s="174"/>
      <c r="F299" s="174"/>
    </row>
    <row r="300" spans="2:6" x14ac:dyDescent="0.2">
      <c r="B300" s="156">
        <v>24</v>
      </c>
      <c r="C300" s="156" t="s">
        <v>23</v>
      </c>
      <c r="D300" s="174"/>
      <c r="E300" s="174"/>
      <c r="F300" s="174"/>
    </row>
    <row r="301" spans="2:6" x14ac:dyDescent="0.2">
      <c r="B301" s="156">
        <v>24.1</v>
      </c>
      <c r="C301" s="156" t="s">
        <v>23</v>
      </c>
      <c r="D301" s="174"/>
      <c r="E301" s="174"/>
      <c r="F301" s="174"/>
    </row>
    <row r="302" spans="2:6" x14ac:dyDescent="0.2">
      <c r="B302" s="156">
        <v>24.2</v>
      </c>
      <c r="C302" s="156" t="s">
        <v>23</v>
      </c>
      <c r="D302" s="174"/>
      <c r="E302" s="174"/>
      <c r="F302" s="174"/>
    </row>
    <row r="303" spans="2:6" x14ac:dyDescent="0.2">
      <c r="B303" s="156">
        <v>24.3</v>
      </c>
      <c r="C303" s="156" t="s">
        <v>23</v>
      </c>
      <c r="D303" s="174"/>
      <c r="E303" s="174"/>
      <c r="F303" s="174"/>
    </row>
    <row r="304" spans="2:6" x14ac:dyDescent="0.2">
      <c r="B304" s="156">
        <v>24.4</v>
      </c>
      <c r="C304" s="156" t="s">
        <v>23</v>
      </c>
      <c r="D304" s="174"/>
      <c r="E304" s="174"/>
      <c r="F304" s="174"/>
    </row>
    <row r="305" spans="2:6" x14ac:dyDescent="0.2">
      <c r="B305" s="156">
        <v>24.5</v>
      </c>
      <c r="C305" s="156" t="s">
        <v>23</v>
      </c>
      <c r="D305" s="174"/>
      <c r="E305" s="174"/>
      <c r="F305" s="174"/>
    </row>
    <row r="306" spans="2:6" x14ac:dyDescent="0.2">
      <c r="B306" s="156">
        <v>24.6</v>
      </c>
      <c r="C306" s="156" t="s">
        <v>23</v>
      </c>
      <c r="D306" s="174"/>
      <c r="E306" s="174"/>
      <c r="F306" s="174"/>
    </row>
    <row r="307" spans="2:6" x14ac:dyDescent="0.2">
      <c r="B307" s="156">
        <v>24.7</v>
      </c>
      <c r="C307" s="156" t="s">
        <v>23</v>
      </c>
      <c r="D307" s="174"/>
      <c r="E307" s="174"/>
      <c r="F307" s="174"/>
    </row>
    <row r="308" spans="2:6" x14ac:dyDescent="0.2">
      <c r="B308" s="156">
        <v>24.8</v>
      </c>
      <c r="C308" s="156" t="s">
        <v>23</v>
      </c>
      <c r="D308" s="174"/>
      <c r="E308" s="174"/>
      <c r="F308" s="174"/>
    </row>
    <row r="309" spans="2:6" x14ac:dyDescent="0.2">
      <c r="B309" s="156">
        <v>24.9</v>
      </c>
      <c r="C309" s="156" t="s">
        <v>23</v>
      </c>
      <c r="D309" s="174"/>
      <c r="E309" s="174"/>
      <c r="F309" s="174"/>
    </row>
    <row r="310" spans="2:6" x14ac:dyDescent="0.2">
      <c r="B310" s="156">
        <v>25</v>
      </c>
      <c r="C310" s="156" t="s">
        <v>23</v>
      </c>
      <c r="D310" s="174"/>
      <c r="E310" s="174"/>
      <c r="F310" s="174"/>
    </row>
    <row r="311" spans="2:6" x14ac:dyDescent="0.2">
      <c r="D311" s="174"/>
      <c r="E311" s="174"/>
      <c r="F311" s="174"/>
    </row>
    <row r="312" spans="2:6" x14ac:dyDescent="0.2">
      <c r="E312" s="174"/>
      <c r="F312" s="174"/>
    </row>
    <row r="313" spans="2:6" x14ac:dyDescent="0.2">
      <c r="E313" s="174"/>
      <c r="F313" s="174"/>
    </row>
  </sheetData>
  <sheetProtection sheet="1" objects="1" scenarios="1"/>
  <sortState ref="E45:E46">
    <sortCondition ref="E45"/>
  </sortState>
  <mergeCells count="4">
    <mergeCell ref="B7:B10"/>
    <mergeCell ref="C7:C10"/>
    <mergeCell ref="D7:D10"/>
    <mergeCell ref="E43:E44"/>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theme="9" tint="0.59999389629810485"/>
  </sheetPr>
  <dimension ref="A1:W36"/>
  <sheetViews>
    <sheetView zoomScale="85" zoomScaleNormal="85" workbookViewId="0">
      <selection activeCell="A5" sqref="A5"/>
    </sheetView>
  </sheetViews>
  <sheetFormatPr defaultRowHeight="15" x14ac:dyDescent="0.25"/>
  <cols>
    <col min="1" max="12" width="9.140625" style="72"/>
    <col min="13" max="13" width="5" style="73" customWidth="1"/>
    <col min="14" max="14" width="7" style="73" bestFit="1" customWidth="1"/>
    <col min="15" max="15" width="5.85546875" style="73" bestFit="1" customWidth="1"/>
    <col min="16" max="16" width="10.28515625" style="73" bestFit="1" customWidth="1"/>
    <col min="17" max="18" width="5.5703125" style="73" bestFit="1" customWidth="1"/>
    <col min="19" max="19" width="3.85546875" style="73" customWidth="1"/>
    <col min="20" max="20" width="20.85546875" style="72" customWidth="1"/>
    <col min="21" max="21" width="11.28515625" style="72" bestFit="1" customWidth="1"/>
    <col min="22" max="16384" width="9.140625" style="72"/>
  </cols>
  <sheetData>
    <row r="1" spans="1:23" x14ac:dyDescent="0.25">
      <c r="A1" s="71" t="s">
        <v>457</v>
      </c>
    </row>
    <row r="2" spans="1:23" x14ac:dyDescent="0.25">
      <c r="A2" s="72" t="s">
        <v>458</v>
      </c>
    </row>
    <row r="3" spans="1:23" x14ac:dyDescent="0.25">
      <c r="A3" s="72" t="s">
        <v>459</v>
      </c>
    </row>
    <row r="4" spans="1:23" x14ac:dyDescent="0.25">
      <c r="A4" s="72" t="s">
        <v>456</v>
      </c>
    </row>
    <row r="5" spans="1:23" ht="48" customHeight="1" thickBot="1" x14ac:dyDescent="0.3"/>
    <row r="6" spans="1:23" ht="19.5" thickBot="1" x14ac:dyDescent="0.4">
      <c r="A6" s="669" t="s">
        <v>143</v>
      </c>
      <c r="M6" s="670" t="s">
        <v>137</v>
      </c>
      <c r="N6" s="671" t="s">
        <v>144</v>
      </c>
      <c r="O6" s="672" t="s">
        <v>138</v>
      </c>
      <c r="P6" s="671" t="s">
        <v>139</v>
      </c>
      <c r="Q6" s="670" t="s">
        <v>140</v>
      </c>
      <c r="R6" s="671" t="s">
        <v>141</v>
      </c>
      <c r="S6" s="691"/>
      <c r="T6" s="694" t="s">
        <v>135</v>
      </c>
      <c r="U6" s="694" t="s">
        <v>142</v>
      </c>
      <c r="W6" s="669" t="s">
        <v>136</v>
      </c>
    </row>
    <row r="7" spans="1:23" x14ac:dyDescent="0.25">
      <c r="M7" s="673">
        <v>1</v>
      </c>
      <c r="N7" s="674">
        <f>M7+273.15</f>
        <v>274.14999999999998</v>
      </c>
      <c r="O7" s="675">
        <f>14.652-0.41022*M7+0.7991*10^-2*M7^2-0.77774*10^-4*M7^3</f>
        <v>14.249693226</v>
      </c>
      <c r="P7" s="676" t="e">
        <f>EXP(-139.34411+(1.575701*10^5/N7)-(6.642308*10^7/N7^4)+(1.2438*10^10/N7^3)-(8.621949*10^11/N7^4))-($T$7*(0.031929-(19.428/N7)+(3867.3/N7^2)))</f>
        <v>#NUM!</v>
      </c>
      <c r="Q7" s="677">
        <f>(14.652-0.41022*M7+(0.089392*M7)^2-(0.042685*M7)^3)*(1-(T$7/10^5))</f>
        <v>14.206944077728629</v>
      </c>
      <c r="R7" s="678">
        <f>EXP(-173.4292+249.6339/((M7+273)/100)+143.3483*LN((M7+273)/100)-21.8492*((M7+273)/100)+U$7*(-0.033096+0.014259*((M7+273)/100)-0.0017*((M7+273)/100)^2))*32000/22400</f>
        <v>14.200933391512699</v>
      </c>
      <c r="S7" s="692"/>
      <c r="T7" s="693">
        <v>300</v>
      </c>
      <c r="U7" s="695">
        <f>1.805*T7/1000</f>
        <v>0.54149999999999998</v>
      </c>
    </row>
    <row r="8" spans="1:23" x14ac:dyDescent="0.25">
      <c r="M8" s="679">
        <v>2</v>
      </c>
      <c r="N8" s="680">
        <f t="shared" ref="N8:N36" si="0">M8+273.15</f>
        <v>275.14999999999998</v>
      </c>
      <c r="O8" s="681">
        <f t="shared" ref="O8:O36" si="1">14.652-0.41022*M8+0.7991*10^-2*M8^2-0.77774*10^-4*M8^3</f>
        <v>13.862901808</v>
      </c>
      <c r="P8" s="682" t="e">
        <f t="shared" ref="P8:P36" si="2">EXP(-139.34411+(1.575701*10^5/N8)-(6.642308*10^7/N8^4)+(1.2438*10^10/N8^3)-(8.621949*10^11/N8^4))-($T$7*(0.031929-(19.428/N8)+(3867.3/N8^2)))</f>
        <v>#NUM!</v>
      </c>
      <c r="Q8" s="683">
        <f t="shared" ref="Q8:Q36" si="3">(14.652-0.41022*M8+(0.089392*M8)^2-(0.042685*M8)^3)*(1-(T$7/10^5))</f>
        <v>13.82131283432901</v>
      </c>
      <c r="R8" s="684">
        <f t="shared" ref="R8:R36" si="4">EXP(-173.4292+249.6339/((M8+273)/100)+143.3483*LN((M8+273)/100)-21.8492*((M8+273)/100)+U$7*(-0.033096+0.014259*((M8+273)/100)-0.0017*((M8+273)/100)^2))*32000/22400</f>
        <v>13.81506741028028</v>
      </c>
      <c r="S8" s="692"/>
    </row>
    <row r="9" spans="1:23" x14ac:dyDescent="0.25">
      <c r="M9" s="679">
        <v>3</v>
      </c>
      <c r="N9" s="680">
        <f t="shared" si="0"/>
        <v>276.14999999999998</v>
      </c>
      <c r="O9" s="681">
        <f t="shared" si="1"/>
        <v>13.491159101999997</v>
      </c>
      <c r="P9" s="682" t="e">
        <f t="shared" si="2"/>
        <v>#NUM!</v>
      </c>
      <c r="Q9" s="683">
        <f t="shared" si="3"/>
        <v>13.45068503492287</v>
      </c>
      <c r="R9" s="684">
        <f t="shared" si="4"/>
        <v>13.446474981188249</v>
      </c>
      <c r="S9" s="692"/>
    </row>
    <row r="10" spans="1:23" x14ac:dyDescent="0.25">
      <c r="M10" s="679">
        <v>4</v>
      </c>
      <c r="N10" s="680">
        <f t="shared" si="0"/>
        <v>277.14999999999998</v>
      </c>
      <c r="O10" s="681">
        <f t="shared" si="1"/>
        <v>13.133998463999999</v>
      </c>
      <c r="P10" s="682" t="e">
        <f t="shared" si="2"/>
        <v>#NUM!</v>
      </c>
      <c r="Q10" s="683">
        <f t="shared" si="3"/>
        <v>13.094595444631945</v>
      </c>
      <c r="R10" s="684">
        <f t="shared" si="4"/>
        <v>13.094166904167503</v>
      </c>
      <c r="S10" s="692"/>
    </row>
    <row r="11" spans="1:23" x14ac:dyDescent="0.25">
      <c r="M11" s="679">
        <v>5</v>
      </c>
      <c r="N11" s="680">
        <f t="shared" si="0"/>
        <v>278.14999999999998</v>
      </c>
      <c r="O11" s="681">
        <f t="shared" si="1"/>
        <v>12.790953249999999</v>
      </c>
      <c r="P11" s="682" t="e">
        <f t="shared" si="2"/>
        <v>#NUM!</v>
      </c>
      <c r="Q11" s="683">
        <f t="shared" si="3"/>
        <v>12.752578828577974</v>
      </c>
      <c r="R11" s="684">
        <f t="shared" si="4"/>
        <v>12.757219902599118</v>
      </c>
      <c r="S11" s="692"/>
    </row>
    <row r="12" spans="1:23" x14ac:dyDescent="0.25">
      <c r="M12" s="679">
        <v>6</v>
      </c>
      <c r="N12" s="680">
        <f t="shared" si="0"/>
        <v>279.14999999999998</v>
      </c>
      <c r="O12" s="681">
        <f t="shared" si="1"/>
        <v>12.461556816</v>
      </c>
      <c r="P12" s="682" t="e">
        <f t="shared" si="2"/>
        <v>#NUM!</v>
      </c>
      <c r="Q12" s="683">
        <f t="shared" si="3"/>
        <v>12.424169951882678</v>
      </c>
      <c r="R12" s="684">
        <f t="shared" si="4"/>
        <v>12.434771617934647</v>
      </c>
      <c r="S12" s="692"/>
    </row>
    <row r="13" spans="1:23" x14ac:dyDescent="0.25">
      <c r="M13" s="679">
        <v>7</v>
      </c>
      <c r="N13" s="680">
        <f t="shared" si="0"/>
        <v>280.14999999999998</v>
      </c>
      <c r="O13" s="681">
        <f t="shared" si="1"/>
        <v>12.145342518</v>
      </c>
      <c r="P13" s="682" t="e">
        <f t="shared" si="2"/>
        <v>#NUM!</v>
      </c>
      <c r="Q13" s="683">
        <f t="shared" si="3"/>
        <v>12.1089035796678</v>
      </c>
      <c r="R13" s="684">
        <f t="shared" si="4"/>
        <v>12.126016027105997</v>
      </c>
      <c r="S13" s="692"/>
    </row>
    <row r="14" spans="1:23" x14ac:dyDescent="0.25">
      <c r="M14" s="679">
        <v>8</v>
      </c>
      <c r="N14" s="680">
        <f t="shared" si="0"/>
        <v>281.14999999999998</v>
      </c>
      <c r="O14" s="681">
        <f t="shared" si="1"/>
        <v>11.841843711999999</v>
      </c>
      <c r="P14" s="682" t="e">
        <f t="shared" si="2"/>
        <v>#NUM!</v>
      </c>
      <c r="Q14" s="683">
        <f t="shared" si="3"/>
        <v>11.80631447705507</v>
      </c>
      <c r="R14" s="684">
        <f t="shared" si="4"/>
        <v>11.830199243679687</v>
      </c>
      <c r="S14" s="692"/>
    </row>
    <row r="15" spans="1:23" x14ac:dyDescent="0.25">
      <c r="M15" s="679">
        <v>9</v>
      </c>
      <c r="N15" s="680">
        <f t="shared" si="0"/>
        <v>282.14999999999998</v>
      </c>
      <c r="O15" s="681">
        <f t="shared" si="1"/>
        <v>11.550593753999999</v>
      </c>
      <c r="P15" s="682" t="e">
        <f t="shared" si="2"/>
        <v>#NUM!</v>
      </c>
      <c r="Q15" s="683">
        <f t="shared" si="3"/>
        <v>11.515937409166218</v>
      </c>
      <c r="R15" s="684">
        <f t="shared" si="4"/>
        <v>11.546615667600145</v>
      </c>
      <c r="S15" s="692"/>
    </row>
    <row r="16" spans="1:23" x14ac:dyDescent="0.25">
      <c r="M16" s="679">
        <v>10</v>
      </c>
      <c r="N16" s="680">
        <f t="shared" si="0"/>
        <v>283.14999999999998</v>
      </c>
      <c r="O16" s="681">
        <f t="shared" si="1"/>
        <v>11.271125999999999</v>
      </c>
      <c r="P16" s="682" t="e">
        <f t="shared" si="2"/>
        <v>#NUM!</v>
      </c>
      <c r="Q16" s="683">
        <f t="shared" si="3"/>
        <v>11.237307141122981</v>
      </c>
      <c r="R16" s="684">
        <f t="shared" si="4"/>
        <v>11.274604451854657</v>
      </c>
      <c r="S16" s="692"/>
    </row>
    <row r="17" spans="13:19" x14ac:dyDescent="0.25">
      <c r="M17" s="679">
        <v>11</v>
      </c>
      <c r="N17" s="680">
        <f t="shared" si="0"/>
        <v>284.14999999999998</v>
      </c>
      <c r="O17" s="681">
        <f t="shared" si="1"/>
        <v>11.002973805999998</v>
      </c>
      <c r="P17" s="682" t="e">
        <f t="shared" si="2"/>
        <v>#NUM!</v>
      </c>
      <c r="Q17" s="683">
        <f t="shared" si="3"/>
        <v>10.969958438047092</v>
      </c>
      <c r="R17" s="684">
        <f t="shared" si="4"/>
        <v>11.013546257504551</v>
      </c>
      <c r="S17" s="692"/>
    </row>
    <row r="18" spans="13:19" x14ac:dyDescent="0.25">
      <c r="M18" s="679">
        <v>12</v>
      </c>
      <c r="N18" s="680">
        <f t="shared" si="0"/>
        <v>285.14999999999998</v>
      </c>
      <c r="O18" s="681">
        <f t="shared" si="1"/>
        <v>10.745670528</v>
      </c>
      <c r="P18" s="682" t="e">
        <f t="shared" si="2"/>
        <v>#NUM!</v>
      </c>
      <c r="Q18" s="683">
        <f t="shared" si="3"/>
        <v>10.713426065060283</v>
      </c>
      <c r="R18" s="684">
        <f t="shared" si="4"/>
        <v>10.762860271310117</v>
      </c>
      <c r="S18" s="692"/>
    </row>
    <row r="19" spans="13:19" x14ac:dyDescent="0.25">
      <c r="M19" s="679">
        <v>13</v>
      </c>
      <c r="N19" s="680">
        <f t="shared" si="0"/>
        <v>286.14999999999998</v>
      </c>
      <c r="O19" s="681">
        <f t="shared" si="1"/>
        <v>10.498749522000001</v>
      </c>
      <c r="P19" s="682" t="e">
        <f t="shared" si="2"/>
        <v>#NUM!</v>
      </c>
      <c r="Q19" s="683">
        <f t="shared" si="3"/>
        <v>10.467244787284288</v>
      </c>
      <c r="R19" s="684">
        <f t="shared" si="4"/>
        <v>10.522001462676954</v>
      </c>
      <c r="S19" s="692"/>
    </row>
    <row r="20" spans="13:19" x14ac:dyDescent="0.25">
      <c r="M20" s="679">
        <v>14</v>
      </c>
      <c r="N20" s="680">
        <f t="shared" si="0"/>
        <v>287.14999999999998</v>
      </c>
      <c r="O20" s="681">
        <f t="shared" si="1"/>
        <v>10.261744143999998</v>
      </c>
      <c r="P20" s="682" t="e">
        <f t="shared" si="2"/>
        <v>#NUM!</v>
      </c>
      <c r="Q20" s="683">
        <f t="shared" si="3"/>
        <v>10.230949369840834</v>
      </c>
      <c r="R20" s="684">
        <f t="shared" si="4"/>
        <v>10.290458058878349</v>
      </c>
      <c r="S20" s="692"/>
    </row>
    <row r="21" spans="13:19" x14ac:dyDescent="0.25">
      <c r="M21" s="679">
        <v>15</v>
      </c>
      <c r="N21" s="680">
        <f t="shared" si="0"/>
        <v>288.14999999999998</v>
      </c>
      <c r="O21" s="681">
        <f t="shared" si="1"/>
        <v>10.034187749999999</v>
      </c>
      <c r="P21" s="682" t="e">
        <f t="shared" si="2"/>
        <v>#NUM!</v>
      </c>
      <c r="Q21" s="683">
        <f t="shared" si="3"/>
        <v>10.004074577851666</v>
      </c>
      <c r="R21" s="684">
        <f t="shared" si="4"/>
        <v>10.067749219518326</v>
      </c>
      <c r="S21" s="692"/>
    </row>
    <row r="22" spans="13:19" x14ac:dyDescent="0.25">
      <c r="M22" s="679">
        <v>16</v>
      </c>
      <c r="N22" s="680">
        <f t="shared" si="0"/>
        <v>289.14999999999998</v>
      </c>
      <c r="O22" s="681">
        <f t="shared" si="1"/>
        <v>9.8156136959999998</v>
      </c>
      <c r="P22" s="682" t="e">
        <f t="shared" si="2"/>
        <v>#NUM!</v>
      </c>
      <c r="Q22" s="683">
        <f t="shared" si="3"/>
        <v>9.7861551764385091</v>
      </c>
      <c r="R22" s="684">
        <f t="shared" si="4"/>
        <v>9.8534228929937751</v>
      </c>
      <c r="S22" s="692"/>
    </row>
    <row r="23" spans="13:19" x14ac:dyDescent="0.25">
      <c r="M23" s="679">
        <v>17</v>
      </c>
      <c r="N23" s="680">
        <f t="shared" si="0"/>
        <v>290.14999999999998</v>
      </c>
      <c r="O23" s="681">
        <f t="shared" si="1"/>
        <v>9.6055553380000003</v>
      </c>
      <c r="P23" s="682" t="e">
        <f t="shared" si="2"/>
        <v>#NUM!</v>
      </c>
      <c r="Q23" s="683">
        <f t="shared" si="3"/>
        <v>9.576725930723093</v>
      </c>
      <c r="R23" s="684">
        <f t="shared" si="4"/>
        <v>9.6470538393414369</v>
      </c>
      <c r="S23" s="692"/>
    </row>
    <row r="24" spans="13:19" x14ac:dyDescent="0.25">
      <c r="M24" s="679">
        <v>18</v>
      </c>
      <c r="N24" s="680">
        <f t="shared" si="0"/>
        <v>291.14999999999998</v>
      </c>
      <c r="O24" s="681">
        <f t="shared" si="1"/>
        <v>9.4035460320000013</v>
      </c>
      <c r="P24" s="682" t="e">
        <f t="shared" si="2"/>
        <v>#NUM!</v>
      </c>
      <c r="Q24" s="683">
        <f t="shared" si="3"/>
        <v>9.3753216058271605</v>
      </c>
      <c r="R24" s="684">
        <f t="shared" si="4"/>
        <v>9.4482418052949058</v>
      </c>
      <c r="S24" s="692"/>
    </row>
    <row r="25" spans="13:19" x14ac:dyDescent="0.25">
      <c r="M25" s="679">
        <v>19</v>
      </c>
      <c r="N25" s="680">
        <f t="shared" si="0"/>
        <v>292.14999999999998</v>
      </c>
      <c r="O25" s="681">
        <f t="shared" si="1"/>
        <v>9.2091191339999998</v>
      </c>
      <c r="P25" s="682" t="e">
        <f t="shared" si="2"/>
        <v>#NUM!</v>
      </c>
      <c r="Q25" s="683">
        <f t="shared" si="3"/>
        <v>9.1814769668724363</v>
      </c>
      <c r="R25" s="684">
        <f t="shared" si="4"/>
        <v>9.2566098386959457</v>
      </c>
      <c r="S25" s="692"/>
    </row>
    <row r="26" spans="13:19" x14ac:dyDescent="0.25">
      <c r="M26" s="679">
        <v>20</v>
      </c>
      <c r="N26" s="680">
        <f t="shared" si="0"/>
        <v>293.14999999999998</v>
      </c>
      <c r="O26" s="681">
        <f t="shared" si="1"/>
        <v>9.021808</v>
      </c>
      <c r="P26" s="682" t="e">
        <f t="shared" si="2"/>
        <v>#NUM!</v>
      </c>
      <c r="Q26" s="683">
        <f t="shared" si="3"/>
        <v>8.9947267789806578</v>
      </c>
      <c r="R26" s="684">
        <f t="shared" si="4"/>
        <v>9.0718027305832756</v>
      </c>
      <c r="S26" s="692"/>
    </row>
    <row r="27" spans="13:19" x14ac:dyDescent="0.25">
      <c r="M27" s="679">
        <v>21</v>
      </c>
      <c r="N27" s="680">
        <f t="shared" si="0"/>
        <v>294.14999999999998</v>
      </c>
      <c r="O27" s="681">
        <f t="shared" si="1"/>
        <v>8.841145985999999</v>
      </c>
      <c r="P27" s="682" t="e">
        <f t="shared" si="2"/>
        <v>#NUM!</v>
      </c>
      <c r="Q27" s="683">
        <f t="shared" si="3"/>
        <v>8.8146058072735585</v>
      </c>
      <c r="R27" s="684">
        <f t="shared" si="4"/>
        <v>8.8934855743323542</v>
      </c>
      <c r="S27" s="692"/>
    </row>
    <row r="28" spans="13:19" x14ac:dyDescent="0.25">
      <c r="M28" s="679">
        <v>22</v>
      </c>
      <c r="N28" s="680">
        <f t="shared" si="0"/>
        <v>295.14999999999998</v>
      </c>
      <c r="O28" s="681">
        <f t="shared" si="1"/>
        <v>8.6666664480000009</v>
      </c>
      <c r="P28" s="682" t="e">
        <f t="shared" si="2"/>
        <v>#NUM!</v>
      </c>
      <c r="Q28" s="683">
        <f t="shared" si="3"/>
        <v>8.6406488168728703</v>
      </c>
      <c r="R28" s="684">
        <f t="shared" si="4"/>
        <v>8.7213424321976181</v>
      </c>
      <c r="S28" s="692"/>
    </row>
    <row r="29" spans="13:19" x14ac:dyDescent="0.25">
      <c r="M29" s="679">
        <v>23</v>
      </c>
      <c r="N29" s="680">
        <f t="shared" si="0"/>
        <v>296.14999999999998</v>
      </c>
      <c r="O29" s="681">
        <f t="shared" si="1"/>
        <v>8.4979027419999991</v>
      </c>
      <c r="P29" s="682" t="e">
        <f t="shared" si="2"/>
        <v>#NUM!</v>
      </c>
      <c r="Q29" s="683">
        <f t="shared" si="3"/>
        <v>8.4723905729003235</v>
      </c>
      <c r="R29" s="684">
        <f t="shared" si="4"/>
        <v>8.555075100453303</v>
      </c>
      <c r="S29" s="692"/>
    </row>
    <row r="30" spans="13:19" x14ac:dyDescent="0.25">
      <c r="M30" s="679">
        <v>24</v>
      </c>
      <c r="N30" s="680">
        <f t="shared" si="0"/>
        <v>297.14999999999998</v>
      </c>
      <c r="O30" s="681">
        <f t="shared" si="1"/>
        <v>8.3343882239999996</v>
      </c>
      <c r="P30" s="682" t="e">
        <f t="shared" si="2"/>
        <v>#NUM!</v>
      </c>
      <c r="Q30" s="683">
        <f t="shared" si="3"/>
        <v>8.3093658404776569</v>
      </c>
      <c r="R30" s="684">
        <f t="shared" si="4"/>
        <v>8.3944019651261019</v>
      </c>
      <c r="S30" s="692"/>
    </row>
    <row r="31" spans="13:19" x14ac:dyDescent="0.25">
      <c r="M31" s="679">
        <v>25</v>
      </c>
      <c r="N31" s="680">
        <f t="shared" si="0"/>
        <v>298.14999999999998</v>
      </c>
      <c r="O31" s="681">
        <f t="shared" si="1"/>
        <v>8.1756562499999994</v>
      </c>
      <c r="P31" s="682" t="e">
        <f t="shared" si="2"/>
        <v>#NUM!</v>
      </c>
      <c r="Q31" s="683">
        <f t="shared" si="3"/>
        <v>8.1511093847265972</v>
      </c>
      <c r="R31" s="684">
        <f t="shared" si="4"/>
        <v>8.2390569410163721</v>
      </c>
      <c r="S31" s="692"/>
    </row>
    <row r="32" spans="13:19" x14ac:dyDescent="0.25">
      <c r="M32" s="679">
        <v>26</v>
      </c>
      <c r="N32" s="680">
        <f t="shared" si="0"/>
        <v>299.14999999999998</v>
      </c>
      <c r="O32" s="681">
        <f t="shared" si="1"/>
        <v>8.0212401760000009</v>
      </c>
      <c r="P32" s="682" t="e">
        <f t="shared" si="2"/>
        <v>#NUM!</v>
      </c>
      <c r="Q32" s="683">
        <f t="shared" si="3"/>
        <v>7.9971559707688868</v>
      </c>
      <c r="R32" s="684">
        <f t="shared" si="4"/>
        <v>8.088788487336009</v>
      </c>
      <c r="S32" s="692"/>
    </row>
    <row r="33" spans="13:19" x14ac:dyDescent="0.25">
      <c r="M33" s="679">
        <v>27</v>
      </c>
      <c r="N33" s="680">
        <f t="shared" si="0"/>
        <v>300.14999999999998</v>
      </c>
      <c r="O33" s="681">
        <f t="shared" si="1"/>
        <v>7.8706733580000012</v>
      </c>
      <c r="P33" s="682" t="e">
        <f t="shared" si="2"/>
        <v>#NUM!</v>
      </c>
      <c r="Q33" s="683">
        <f t="shared" si="3"/>
        <v>7.8470403637262498</v>
      </c>
      <c r="R33" s="684">
        <f t="shared" si="4"/>
        <v>7.9433586938872498</v>
      </c>
      <c r="S33" s="692"/>
    </row>
    <row r="34" spans="13:19" x14ac:dyDescent="0.25">
      <c r="M34" s="679">
        <v>28</v>
      </c>
      <c r="N34" s="680">
        <f t="shared" si="0"/>
        <v>301.14999999999998</v>
      </c>
      <c r="O34" s="681">
        <f t="shared" si="1"/>
        <v>7.7234891519999991</v>
      </c>
      <c r="P34" s="682" t="e">
        <f t="shared" si="2"/>
        <v>#NUM!</v>
      </c>
      <c r="Q34" s="683">
        <f t="shared" si="3"/>
        <v>7.7002973287204188</v>
      </c>
      <c r="R34" s="684">
        <f t="shared" si="4"/>
        <v>7.8025424322117063</v>
      </c>
      <c r="S34" s="692"/>
    </row>
    <row r="35" spans="13:19" x14ac:dyDescent="0.25">
      <c r="M35" s="679">
        <v>29</v>
      </c>
      <c r="N35" s="680">
        <f t="shared" si="0"/>
        <v>302.14999999999998</v>
      </c>
      <c r="O35" s="681">
        <f t="shared" si="1"/>
        <v>7.5792209140000004</v>
      </c>
      <c r="P35" s="682" t="e">
        <f t="shared" si="2"/>
        <v>#NUM!</v>
      </c>
      <c r="Q35" s="683">
        <f t="shared" si="3"/>
        <v>7.5564616308731356</v>
      </c>
      <c r="R35" s="684">
        <f t="shared" si="4"/>
        <v>7.6661265666370113</v>
      </c>
      <c r="S35" s="692"/>
    </row>
    <row r="36" spans="13:19" ht="15.75" thickBot="1" x14ac:dyDescent="0.3">
      <c r="M36" s="685">
        <v>30</v>
      </c>
      <c r="N36" s="686">
        <f t="shared" si="0"/>
        <v>303.14999999999998</v>
      </c>
      <c r="O36" s="687">
        <f t="shared" si="1"/>
        <v>7.4374019999999987</v>
      </c>
      <c r="P36" s="688" t="e">
        <f t="shared" si="2"/>
        <v>#NUM!</v>
      </c>
      <c r="Q36" s="689">
        <f t="shared" si="3"/>
        <v>7.4150680353061249</v>
      </c>
      <c r="R36" s="690">
        <f t="shared" si="4"/>
        <v>7.5339092205564882</v>
      </c>
      <c r="S36" s="692"/>
    </row>
  </sheetData>
  <sheetProtection sheet="1" objects="1" scenarios="1"/>
  <protectedRanges>
    <protectedRange sqref="T7" name="Bereik1"/>
  </protectedRanges>
  <hyperlinks>
    <hyperlink ref="W6" r:id="rId1"/>
    <hyperlink ref="A6" r:id="rId2"/>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Werkbladen</vt:lpstr>
      </vt:variant>
      <vt:variant>
        <vt:i4>8</vt:i4>
      </vt:variant>
      <vt:variant>
        <vt:lpstr>Grafieken</vt:lpstr>
      </vt:variant>
      <vt:variant>
        <vt:i4>1</vt:i4>
      </vt:variant>
      <vt:variant>
        <vt:lpstr>Benoemde bereiken</vt:lpstr>
      </vt:variant>
      <vt:variant>
        <vt:i4>1</vt:i4>
      </vt:variant>
    </vt:vector>
  </HeadingPairs>
  <TitlesOfParts>
    <vt:vector size="10" baseType="lpstr">
      <vt:lpstr>invulblad</vt:lpstr>
      <vt:lpstr>kentallen</vt:lpstr>
      <vt:lpstr>rekenhulp wateraanvoer in m3</vt:lpstr>
      <vt:lpstr>figuren belasting</vt:lpstr>
      <vt:lpstr>figuren toestand</vt:lpstr>
      <vt:lpstr>voorbeelden</vt:lpstr>
      <vt:lpstr>zuurstofberekening</vt:lpstr>
      <vt:lpstr>zuurstofverzadiging</vt:lpstr>
      <vt:lpstr>figuur zuurstof</vt:lpstr>
      <vt:lpstr>invulblad!Afdrukbereik</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dc:creator>
  <cp:lastModifiedBy>Nico</cp:lastModifiedBy>
  <cp:lastPrinted>2018-03-07T15:36:46Z</cp:lastPrinted>
  <dcterms:created xsi:type="dcterms:W3CDTF">2017-08-28T12:41:27Z</dcterms:created>
  <dcterms:modified xsi:type="dcterms:W3CDTF">2018-04-05T19:21:40Z</dcterms:modified>
</cp:coreProperties>
</file>