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bella\Documents\ZZP\back-up 2 mrt 2013\zzp\opdrachten\stowa\coordinatie micro's\onderzoeksprogramma\bc innovatieprogramma\call 2020\def\"/>
    </mc:Choice>
  </mc:AlternateContent>
  <xr:revisionPtr revIDLastSave="0" documentId="13_ncr:1_{FE9C198B-13AE-4641-B82C-ED663A0269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andleiding" sheetId="11" r:id="rId1"/>
    <sheet name="Invulblad" sheetId="3" r:id="rId2"/>
    <sheet name="CO2 footprint micro's" sheetId="19" r:id="rId3"/>
    <sheet name="Grafiek CO2 footprint tot" sheetId="18" r:id="rId4"/>
    <sheet name="CO2 footprint tot berek" sheetId="7" r:id="rId5"/>
    <sheet name="factoren MJA" sheetId="10" state="hidden" r:id="rId6"/>
  </sheets>
  <calcPr calcId="18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3" l="1"/>
  <c r="G89" i="3"/>
  <c r="H3" i="19" l="1"/>
  <c r="F40" i="3" l="1"/>
  <c r="R61" i="7" l="1"/>
  <c r="S61" i="7" s="1"/>
  <c r="N61" i="7"/>
  <c r="O61" i="7" s="1"/>
  <c r="K61" i="7"/>
  <c r="L61" i="7" s="1"/>
  <c r="H61" i="7"/>
  <c r="I61" i="7" s="1"/>
  <c r="E61" i="7"/>
  <c r="F61" i="7" s="1"/>
  <c r="H62" i="7"/>
  <c r="I62" i="7" s="1"/>
  <c r="K62" i="7"/>
  <c r="L62" i="7" s="1"/>
  <c r="N62" i="7"/>
  <c r="O62" i="7" s="1"/>
  <c r="R62" i="7"/>
  <c r="S62" i="7" s="1"/>
  <c r="C27" i="7" l="1"/>
  <c r="H34" i="7" l="1"/>
  <c r="I34" i="7" s="1"/>
  <c r="K34" i="7"/>
  <c r="L34" i="7" s="1"/>
  <c r="N34" i="7"/>
  <c r="O34" i="7" s="1"/>
  <c r="R34" i="7"/>
  <c r="S34" i="7" s="1"/>
  <c r="E34" i="7"/>
  <c r="F34" i="7" s="1"/>
  <c r="R73" i="7"/>
  <c r="S73" i="7" s="1"/>
  <c r="G21" i="3"/>
  <c r="G28" i="3" s="1"/>
  <c r="H49" i="3"/>
  <c r="H50" i="3"/>
  <c r="F49" i="3" l="1"/>
  <c r="I61" i="3"/>
  <c r="I93" i="3"/>
  <c r="I22" i="3"/>
  <c r="I21" i="3"/>
  <c r="I28" i="3" s="1"/>
  <c r="R74" i="7" s="1"/>
  <c r="S74" i="7" s="1"/>
  <c r="E27" i="7"/>
  <c r="H27" i="7"/>
  <c r="K27" i="7"/>
  <c r="N27" i="7"/>
  <c r="R27" i="7"/>
  <c r="F5" i="19"/>
  <c r="E5" i="19"/>
  <c r="C28" i="7"/>
  <c r="S27" i="7" l="1"/>
  <c r="O27" i="7"/>
  <c r="I27" i="7"/>
  <c r="L27" i="7"/>
  <c r="F27" i="7"/>
  <c r="H40" i="3"/>
  <c r="N14" i="7" s="1"/>
  <c r="H14" i="7"/>
  <c r="F45" i="3"/>
  <c r="F46" i="3" s="1"/>
  <c r="G45" i="3"/>
  <c r="G46" i="3" s="1"/>
  <c r="E28" i="3"/>
  <c r="G23" i="3"/>
  <c r="G82" i="3" s="1"/>
  <c r="F21" i="3"/>
  <c r="F28" i="3" s="1"/>
  <c r="C22" i="7"/>
  <c r="F22" i="7" s="1"/>
  <c r="C21" i="7"/>
  <c r="B20" i="7"/>
  <c r="R14" i="7"/>
  <c r="K14" i="7"/>
  <c r="E14" i="7"/>
  <c r="F21" i="7" l="1"/>
  <c r="F20" i="7" s="1"/>
  <c r="H93" i="3" l="1"/>
  <c r="I83" i="3"/>
  <c r="H61" i="3"/>
  <c r="H9" i="3" l="1"/>
  <c r="H18" i="3" s="1"/>
  <c r="H19" i="3" s="1"/>
  <c r="I9" i="3"/>
  <c r="I19" i="3" s="1"/>
  <c r="E9" i="3"/>
  <c r="N73" i="7"/>
  <c r="O73" i="7" s="1"/>
  <c r="K73" i="7"/>
  <c r="L73" i="7" s="1"/>
  <c r="H73" i="7"/>
  <c r="I73" i="7" s="1"/>
  <c r="E73" i="7"/>
  <c r="F73" i="7" s="1"/>
  <c r="R70" i="7"/>
  <c r="R21" i="7" l="1"/>
  <c r="H5" i="19"/>
  <c r="H45" i="3"/>
  <c r="H46" i="3" s="1"/>
  <c r="G5" i="19"/>
  <c r="E18" i="3"/>
  <c r="E19" i="3" s="1"/>
  <c r="E45" i="3" s="1"/>
  <c r="E46" i="3" s="1"/>
  <c r="H22" i="7"/>
  <c r="I22" i="7" s="1"/>
  <c r="H21" i="7"/>
  <c r="I21" i="7" s="1"/>
  <c r="N21" i="7"/>
  <c r="O21" i="7" s="1"/>
  <c r="K21" i="7"/>
  <c r="L21" i="7" s="1"/>
  <c r="K22" i="7"/>
  <c r="L22" i="7" s="1"/>
  <c r="I45" i="3"/>
  <c r="I46" i="3" s="1"/>
  <c r="I18" i="3"/>
  <c r="R68" i="7"/>
  <c r="R45" i="7"/>
  <c r="S45" i="7" s="1"/>
  <c r="R46" i="7"/>
  <c r="S46" i="7" s="1"/>
  <c r="R47" i="7"/>
  <c r="S47" i="7" s="1"/>
  <c r="R48" i="7"/>
  <c r="S48" i="7" s="1"/>
  <c r="R49" i="7"/>
  <c r="S49" i="7" s="1"/>
  <c r="R50" i="7"/>
  <c r="S50" i="7" s="1"/>
  <c r="R51" i="7"/>
  <c r="S51" i="7" s="1"/>
  <c r="R52" i="7"/>
  <c r="S52" i="7" s="1"/>
  <c r="R53" i="7"/>
  <c r="S53" i="7" s="1"/>
  <c r="R54" i="7"/>
  <c r="S54" i="7" s="1"/>
  <c r="R55" i="7"/>
  <c r="S55" i="7" s="1"/>
  <c r="R56" i="7"/>
  <c r="S56" i="7" s="1"/>
  <c r="R57" i="7"/>
  <c r="S57" i="7" s="1"/>
  <c r="R60" i="7"/>
  <c r="S60" i="7" s="1"/>
  <c r="R63" i="7"/>
  <c r="S63" i="7" s="1"/>
  <c r="R64" i="7"/>
  <c r="S64" i="7" s="1"/>
  <c r="R65" i="7"/>
  <c r="S65" i="7" s="1"/>
  <c r="R66" i="7"/>
  <c r="S66" i="7" s="1"/>
  <c r="R26" i="7"/>
  <c r="R28" i="7"/>
  <c r="S28" i="7" s="1"/>
  <c r="R29" i="7"/>
  <c r="S29" i="7" s="1"/>
  <c r="R30" i="7"/>
  <c r="S30" i="7" s="1"/>
  <c r="R31" i="7"/>
  <c r="S31" i="7" s="1"/>
  <c r="R32" i="7"/>
  <c r="S32" i="7" s="1"/>
  <c r="R33" i="7"/>
  <c r="S33" i="7" s="1"/>
  <c r="R35" i="7"/>
  <c r="S35" i="7" s="1"/>
  <c r="R36" i="7"/>
  <c r="S36" i="7" s="1"/>
  <c r="R38" i="7"/>
  <c r="S38" i="7" s="1"/>
  <c r="R39" i="7"/>
  <c r="S39" i="7" s="1"/>
  <c r="R40" i="7"/>
  <c r="S40" i="7" s="1"/>
  <c r="R41" i="7"/>
  <c r="S41" i="7" s="1"/>
  <c r="R42" i="7"/>
  <c r="S42" i="7" s="1"/>
  <c r="R43" i="7"/>
  <c r="S43" i="7" s="1"/>
  <c r="R44" i="7"/>
  <c r="S44" i="7" s="1"/>
  <c r="R25" i="7"/>
  <c r="S10" i="7"/>
  <c r="O17" i="7"/>
  <c r="R16" i="7"/>
  <c r="S16" i="7" s="1"/>
  <c r="S17" i="7"/>
  <c r="R59" i="7"/>
  <c r="S59" i="7" s="1"/>
  <c r="R69" i="7"/>
  <c r="S69" i="7" s="1"/>
  <c r="S68" i="7" s="1"/>
  <c r="S8" i="7" s="1"/>
  <c r="N22" i="7" l="1"/>
  <c r="O22" i="7" s="1"/>
  <c r="O20" i="7" s="1"/>
  <c r="I20" i="7"/>
  <c r="S21" i="7"/>
  <c r="L20" i="7"/>
  <c r="R37" i="7"/>
  <c r="S37" i="7" s="1"/>
  <c r="R18" i="7"/>
  <c r="S18" i="7" s="1"/>
  <c r="R15" i="7"/>
  <c r="S15" i="7" s="1"/>
  <c r="S14" i="7"/>
  <c r="R22" i="7" l="1"/>
  <c r="S22" i="7" s="1"/>
  <c r="S20" i="7" s="1"/>
  <c r="S12" i="7"/>
  <c r="I14" i="3"/>
  <c r="H22" i="3"/>
  <c r="S5" i="7" l="1"/>
  <c r="B25" i="7"/>
  <c r="B26" i="7"/>
  <c r="N26" i="7"/>
  <c r="K26" i="7"/>
  <c r="H26" i="7"/>
  <c r="E26" i="7"/>
  <c r="B28" i="7"/>
  <c r="E28" i="7"/>
  <c r="H28" i="7"/>
  <c r="K28" i="7"/>
  <c r="N28" i="7"/>
  <c r="O10" i="7"/>
  <c r="N69" i="7"/>
  <c r="N66" i="7"/>
  <c r="N65" i="7"/>
  <c r="N64" i="7"/>
  <c r="N63" i="7"/>
  <c r="N60" i="7"/>
  <c r="N59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3" i="7"/>
  <c r="N32" i="7"/>
  <c r="N31" i="7"/>
  <c r="N30" i="7"/>
  <c r="N29" i="7"/>
  <c r="N25" i="7"/>
  <c r="N18" i="7"/>
  <c r="O18" i="7" s="1"/>
  <c r="N16" i="7"/>
  <c r="O16" i="7" s="1"/>
  <c r="N15" i="7"/>
  <c r="O15" i="7" s="1"/>
  <c r="O14" i="7"/>
  <c r="K25" i="7"/>
  <c r="H25" i="7"/>
  <c r="E25" i="7"/>
  <c r="E54" i="7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F14" i="7"/>
  <c r="E15" i="7"/>
  <c r="F15" i="7" s="1"/>
  <c r="E16" i="7"/>
  <c r="F16" i="7" s="1"/>
  <c r="E18" i="7"/>
  <c r="F18" i="7" s="1"/>
  <c r="E29" i="7"/>
  <c r="E30" i="7"/>
  <c r="E31" i="7"/>
  <c r="E32" i="7"/>
  <c r="E33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5" i="7"/>
  <c r="E56" i="7"/>
  <c r="E57" i="7"/>
  <c r="E59" i="7"/>
  <c r="E60" i="7"/>
  <c r="E62" i="7"/>
  <c r="F62" i="7" s="1"/>
  <c r="E63" i="7"/>
  <c r="E64" i="7"/>
  <c r="E65" i="7"/>
  <c r="E66" i="7"/>
  <c r="E69" i="7"/>
  <c r="I14" i="7"/>
  <c r="H15" i="7"/>
  <c r="I15" i="7" s="1"/>
  <c r="H16" i="7"/>
  <c r="I16" i="7" s="1"/>
  <c r="H18" i="7"/>
  <c r="I18" i="7" s="1"/>
  <c r="H29" i="7"/>
  <c r="H30" i="7"/>
  <c r="H31" i="7"/>
  <c r="H32" i="7"/>
  <c r="H33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9" i="7"/>
  <c r="H60" i="7"/>
  <c r="H63" i="7"/>
  <c r="H64" i="7"/>
  <c r="H65" i="7"/>
  <c r="H66" i="7"/>
  <c r="H69" i="7"/>
  <c r="I69" i="7" s="1"/>
  <c r="I68" i="7" s="1"/>
  <c r="I8" i="7" s="1"/>
  <c r="L14" i="7"/>
  <c r="K15" i="7"/>
  <c r="L15" i="7" s="1"/>
  <c r="K16" i="7"/>
  <c r="L16" i="7" s="1"/>
  <c r="K18" i="7"/>
  <c r="L18" i="7" s="1"/>
  <c r="K29" i="7"/>
  <c r="K30" i="7"/>
  <c r="K31" i="7"/>
  <c r="K32" i="7"/>
  <c r="K33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L58" i="7" s="1"/>
  <c r="K59" i="7"/>
  <c r="K60" i="7"/>
  <c r="K63" i="7"/>
  <c r="K64" i="7"/>
  <c r="K65" i="7"/>
  <c r="K66" i="7"/>
  <c r="K69" i="7"/>
  <c r="L69" i="7" s="1"/>
  <c r="L68" i="7" s="1"/>
  <c r="L8" i="7" s="1"/>
  <c r="F10" i="7"/>
  <c r="I10" i="7"/>
  <c r="L10" i="7"/>
  <c r="L17" i="7"/>
  <c r="B29" i="7"/>
  <c r="B30" i="7"/>
  <c r="B31" i="7"/>
  <c r="B32" i="7"/>
  <c r="B33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2" i="7"/>
  <c r="B63" i="7"/>
  <c r="B64" i="7"/>
  <c r="B65" i="7"/>
  <c r="B66" i="7"/>
  <c r="B68" i="7"/>
  <c r="B69" i="7"/>
  <c r="H74" i="7"/>
  <c r="I74" i="7" s="1"/>
  <c r="F69" i="7" l="1"/>
  <c r="S25" i="7"/>
  <c r="S26" i="7"/>
  <c r="O25" i="7"/>
  <c r="O26" i="7"/>
  <c r="O28" i="7"/>
  <c r="I25" i="7"/>
  <c r="L28" i="7"/>
  <c r="I28" i="7"/>
  <c r="F28" i="7"/>
  <c r="H14" i="3"/>
  <c r="F26" i="7"/>
  <c r="I26" i="7"/>
  <c r="L26" i="7"/>
  <c r="O30" i="7"/>
  <c r="O32" i="7"/>
  <c r="O35" i="7"/>
  <c r="O37" i="7"/>
  <c r="O39" i="7"/>
  <c r="O41" i="7"/>
  <c r="O43" i="7"/>
  <c r="O45" i="7"/>
  <c r="O47" i="7"/>
  <c r="O49" i="7"/>
  <c r="O51" i="7"/>
  <c r="O53" i="7"/>
  <c r="O55" i="7"/>
  <c r="O57" i="7"/>
  <c r="O59" i="7"/>
  <c r="O64" i="7"/>
  <c r="O66" i="7"/>
  <c r="L32" i="7"/>
  <c r="L30" i="7"/>
  <c r="I33" i="7"/>
  <c r="I31" i="7"/>
  <c r="I29" i="7"/>
  <c r="F57" i="7"/>
  <c r="O29" i="7"/>
  <c r="O31" i="7"/>
  <c r="O33" i="7"/>
  <c r="O36" i="7"/>
  <c r="O38" i="7"/>
  <c r="O40" i="7"/>
  <c r="O42" i="7"/>
  <c r="O44" i="7"/>
  <c r="O46" i="7"/>
  <c r="O48" i="7"/>
  <c r="O50" i="7"/>
  <c r="O52" i="7"/>
  <c r="O54" i="7"/>
  <c r="O56" i="7"/>
  <c r="O60" i="7"/>
  <c r="O63" i="7"/>
  <c r="O65" i="7"/>
  <c r="L66" i="7"/>
  <c r="L64" i="7"/>
  <c r="L59" i="7"/>
  <c r="I65" i="7"/>
  <c r="I63" i="7"/>
  <c r="I60" i="7"/>
  <c r="O12" i="7"/>
  <c r="O5" i="7" s="1"/>
  <c r="O69" i="7"/>
  <c r="O68" i="7" s="1"/>
  <c r="O8" i="7" s="1"/>
  <c r="L25" i="7"/>
  <c r="F25" i="7"/>
  <c r="L48" i="7"/>
  <c r="L46" i="7"/>
  <c r="L44" i="7"/>
  <c r="L42" i="7"/>
  <c r="L40" i="7"/>
  <c r="L38" i="7"/>
  <c r="L36" i="7"/>
  <c r="L29" i="7"/>
  <c r="I49" i="7"/>
  <c r="I47" i="7"/>
  <c r="I45" i="7"/>
  <c r="I43" i="7"/>
  <c r="I41" i="7"/>
  <c r="I39" i="7"/>
  <c r="I37" i="7"/>
  <c r="I35" i="7"/>
  <c r="F33" i="7"/>
  <c r="F29" i="7"/>
  <c r="L57" i="7"/>
  <c r="L55" i="7"/>
  <c r="L53" i="7"/>
  <c r="L51" i="7"/>
  <c r="L49" i="7"/>
  <c r="L47" i="7"/>
  <c r="L45" i="7"/>
  <c r="L43" i="7"/>
  <c r="L41" i="7"/>
  <c r="L39" i="7"/>
  <c r="L37" i="7"/>
  <c r="L35" i="7"/>
  <c r="I56" i="7"/>
  <c r="I54" i="7"/>
  <c r="I52" i="7"/>
  <c r="I50" i="7"/>
  <c r="I48" i="7"/>
  <c r="I46" i="7"/>
  <c r="I44" i="7"/>
  <c r="I42" i="7"/>
  <c r="I40" i="7"/>
  <c r="I38" i="7"/>
  <c r="I36" i="7"/>
  <c r="F49" i="7"/>
  <c r="F43" i="7"/>
  <c r="F42" i="7"/>
  <c r="F41" i="7"/>
  <c r="F36" i="7"/>
  <c r="F35" i="7"/>
  <c r="L65" i="7"/>
  <c r="L63" i="7"/>
  <c r="L60" i="7"/>
  <c r="L56" i="7"/>
  <c r="L54" i="7"/>
  <c r="L52" i="7"/>
  <c r="L50" i="7"/>
  <c r="L33" i="7"/>
  <c r="L31" i="7"/>
  <c r="I66" i="7"/>
  <c r="I64" i="7"/>
  <c r="I59" i="7"/>
  <c r="I57" i="7"/>
  <c r="I55" i="7"/>
  <c r="I53" i="7"/>
  <c r="I51" i="7"/>
  <c r="I32" i="7"/>
  <c r="I30" i="7"/>
  <c r="F66" i="7"/>
  <c r="F64" i="7"/>
  <c r="F60" i="7"/>
  <c r="F59" i="7"/>
  <c r="F51" i="7"/>
  <c r="F50" i="7"/>
  <c r="F32" i="7"/>
  <c r="F31" i="7"/>
  <c r="F30" i="7"/>
  <c r="F37" i="7"/>
  <c r="F63" i="7"/>
  <c r="F55" i="7"/>
  <c r="F54" i="7"/>
  <c r="F53" i="7"/>
  <c r="F52" i="7"/>
  <c r="F47" i="7"/>
  <c r="F46" i="7"/>
  <c r="F45" i="7"/>
  <c r="F44" i="7"/>
  <c r="F39" i="7"/>
  <c r="F38" i="7"/>
  <c r="L12" i="7"/>
  <c r="L5" i="7" s="1"/>
  <c r="F65" i="7"/>
  <c r="I12" i="7"/>
  <c r="F56" i="7"/>
  <c r="F48" i="7"/>
  <c r="F40" i="7"/>
  <c r="F12" i="7"/>
  <c r="F5" i="7" s="1"/>
  <c r="E14" i="3"/>
  <c r="F68" i="7" l="1"/>
  <c r="F8" i="7" s="1"/>
  <c r="I5" i="7"/>
  <c r="L24" i="7"/>
  <c r="L6" i="7" l="1"/>
  <c r="E72" i="7" l="1"/>
  <c r="F72" i="7" s="1"/>
  <c r="H21" i="3" l="1"/>
  <c r="E74" i="7"/>
  <c r="F74" i="7" s="1"/>
  <c r="F71" i="7" s="1"/>
  <c r="E23" i="3"/>
  <c r="E82" i="3" l="1"/>
  <c r="H23" i="3"/>
  <c r="H82" i="3" s="1"/>
  <c r="N58" i="7" s="1"/>
  <c r="O58" i="7" s="1"/>
  <c r="O24" i="7" s="1"/>
  <c r="O6" i="7" s="1"/>
  <c r="H28" i="3"/>
  <c r="N74" i="7" s="1"/>
  <c r="O74" i="7" s="1"/>
  <c r="F7" i="7"/>
  <c r="N72" i="7"/>
  <c r="O72" i="7" s="1"/>
  <c r="R72" i="7"/>
  <c r="S72" i="7" s="1"/>
  <c r="I23" i="3"/>
  <c r="I82" i="3" l="1"/>
  <c r="R58" i="7" s="1"/>
  <c r="S58" i="7" s="1"/>
  <c r="S24" i="7" s="1"/>
  <c r="S6" i="7" s="1"/>
  <c r="E58" i="7"/>
  <c r="F58" i="7" s="1"/>
  <c r="F24" i="7" s="1"/>
  <c r="O71" i="7"/>
  <c r="O4" i="7" s="1"/>
  <c r="G4" i="19" s="1"/>
  <c r="S71" i="7"/>
  <c r="S7" i="7" s="1"/>
  <c r="H72" i="7"/>
  <c r="I72" i="7" s="1"/>
  <c r="I71" i="7" s="1"/>
  <c r="K72" i="7"/>
  <c r="L72" i="7" s="1"/>
  <c r="F23" i="3"/>
  <c r="F82" i="3" s="1"/>
  <c r="H58" i="7" s="1"/>
  <c r="I58" i="7" s="1"/>
  <c r="I24" i="7" s="1"/>
  <c r="I6" i="7" s="1"/>
  <c r="F6" i="7" l="1"/>
  <c r="F4" i="7"/>
  <c r="O7" i="7"/>
  <c r="P7" i="7" s="1"/>
  <c r="S4" i="7"/>
  <c r="T6" i="7" s="1"/>
  <c r="P8" i="7"/>
  <c r="P5" i="7"/>
  <c r="P6" i="7"/>
  <c r="I4" i="7"/>
  <c r="E4" i="19" s="1"/>
  <c r="I7" i="7"/>
  <c r="K74" i="7"/>
  <c r="L74" i="7" s="1"/>
  <c r="L71" i="7" s="1"/>
  <c r="L7" i="7" s="1"/>
  <c r="D4" i="19" l="1"/>
  <c r="G6" i="19" s="1"/>
  <c r="G5" i="7"/>
  <c r="G7" i="7"/>
  <c r="G8" i="7"/>
  <c r="G6" i="7"/>
  <c r="T7" i="7"/>
  <c r="T8" i="7"/>
  <c r="T5" i="7"/>
  <c r="H4" i="19"/>
  <c r="L4" i="7"/>
  <c r="F4" i="19" s="1"/>
  <c r="J8" i="7"/>
  <c r="J5" i="7"/>
  <c r="J6" i="7"/>
  <c r="J7" i="7"/>
  <c r="H6" i="19" l="1"/>
  <c r="E6" i="19"/>
  <c r="F6" i="19"/>
  <c r="G4" i="7"/>
  <c r="M5" i="7"/>
  <c r="M6" i="7"/>
  <c r="M7" i="7"/>
  <c r="M8" i="7"/>
  <c r="J4" i="7"/>
  <c r="P4" i="7"/>
  <c r="T4" i="7"/>
  <c r="M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mirabella.mulder@hotmail.com</author>
  </authors>
  <commentList>
    <comment ref="G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45 W/m3 menging, inbreng ozon, warmte en koeling; 10 kWh per kg O3 geproduceerd; 0,7 g O3/g DOC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Bij lagere waarden onderbouwen % spoelwater tov bewezen technieken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15 mg/l 80% behandeld jaarvolume (afvlakken doseren bij 2xDWA)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30 minuten contacttijd; 0,4 ton/m3; 1x per 2 jaar volledig bed vervangen met verse kool</t>
        </r>
      </text>
    </comment>
    <comment ref="H5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30 minuten contacttijd; 0,4 ton/m3; elke 6 maanden bed volledig vervangen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0,7 g O3/gDOC met factor 10 omzetting incl. in efficiëntie O2 naar O3+ zuurstof voor aeroob zandfilter conform STOWA 2017-36: 6 mg/l extra zuurstof inbreng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mirabella.mulder@hotmail.com</author>
    <author>Mirabella</author>
  </authors>
  <commentList>
    <comment ref="C2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inschatting 41% van CO2-emissie van ak vers; (haalbaarheidsstudie biokoolproject)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inschatting MM</t>
        </r>
      </text>
    </comment>
    <comment ref="C69" authorId="0" shapeId="0" xr:uid="{00000000-0006-0000-0400-000003000000}">
      <text>
        <r>
          <rPr>
            <sz val="9"/>
            <color indexed="81"/>
            <rFont val="Tahoma"/>
            <family val="2"/>
          </rPr>
          <t>http://www.vobn.nl/bouwen-met-beton/kennis-delen/dossiers/mrpi-certificaat-voor-betonmortel</t>
        </r>
      </text>
    </comment>
  </commentList>
</comments>
</file>

<file path=xl/sharedStrings.xml><?xml version="1.0" encoding="utf-8"?>
<sst xmlns="http://schemas.openxmlformats.org/spreadsheetml/2006/main" count="430" uniqueCount="225">
  <si>
    <t>Totaal</t>
  </si>
  <si>
    <t>Verwijderde i.e. 150 g TZV</t>
  </si>
  <si>
    <t>Eenheid</t>
  </si>
  <si>
    <t>kWh</t>
  </si>
  <si>
    <t>Inkoop aardgas</t>
  </si>
  <si>
    <t>Nm3</t>
  </si>
  <si>
    <t>Inkoop warmte</t>
  </si>
  <si>
    <t>m3</t>
  </si>
  <si>
    <t>Hoeveelheden</t>
  </si>
  <si>
    <t>%</t>
  </si>
  <si>
    <t>GJ</t>
  </si>
  <si>
    <t>kg</t>
  </si>
  <si>
    <t>i.e.150 g TZV</t>
  </si>
  <si>
    <t>Behandelde i.e. in influent 150 g TZV</t>
  </si>
  <si>
    <t>ton ontwaterd slib</t>
  </si>
  <si>
    <t>Inkoop energie</t>
  </si>
  <si>
    <t>Inkoop brandstoffen</t>
  </si>
  <si>
    <t>Methanol</t>
  </si>
  <si>
    <t>Warmte</t>
  </si>
  <si>
    <t>Kalkhydraat</t>
  </si>
  <si>
    <t>Primaire energie</t>
  </si>
  <si>
    <t>Electriciteit</t>
  </si>
  <si>
    <t>Aardgas</t>
  </si>
  <si>
    <t>Onderwerp</t>
  </si>
  <si>
    <t>Parameter per jaar</t>
  </si>
  <si>
    <t>Energiedrager (oud en nieuw)</t>
  </si>
  <si>
    <t>Stookwaarde</t>
  </si>
  <si>
    <t>CO2-em.factor</t>
  </si>
  <si>
    <t>(GJ/eenheid)</t>
  </si>
  <si>
    <t>kg CO2/GJ)</t>
  </si>
  <si>
    <t>(Overige bitumineuze) steenkool</t>
  </si>
  <si>
    <t>ton</t>
  </si>
  <si>
    <t>Aardgascondensaat</t>
  </si>
  <si>
    <t>Afval (niet biogeen)</t>
  </si>
  <si>
    <t>Antraciet</t>
  </si>
  <si>
    <t>Biomassa vast</t>
  </si>
  <si>
    <t>Biomassa vloeibaar</t>
  </si>
  <si>
    <t>Bitumen</t>
  </si>
  <si>
    <t>Bitumineuze leisteen</t>
  </si>
  <si>
    <t>Bruinkool</t>
  </si>
  <si>
    <t>Chemisch restgas</t>
  </si>
  <si>
    <t>Cokeskolen (basismetaal)</t>
  </si>
  <si>
    <t>Cokeskolen (cokeovens)</t>
  </si>
  <si>
    <t>Cokesoven/gascokes</t>
  </si>
  <si>
    <t>Cokesovengas</t>
  </si>
  <si>
    <t>MWh</t>
  </si>
  <si>
    <t>Ethaan</t>
  </si>
  <si>
    <t>Fosforovengas</t>
  </si>
  <si>
    <t>Gas-/dieselolie</t>
  </si>
  <si>
    <t>Hoogovengas</t>
  </si>
  <si>
    <t>Industrieeel fermentatiegas</t>
  </si>
  <si>
    <t>Kerosine luchtvaart</t>
  </si>
  <si>
    <t>Koolmonoxide</t>
  </si>
  <si>
    <t>Leisteenolie</t>
  </si>
  <si>
    <t>LPG</t>
  </si>
  <si>
    <t>Methaan</t>
  </si>
  <si>
    <t>Motorbenzine</t>
  </si>
  <si>
    <t>Nafta's</t>
  </si>
  <si>
    <t>Orimulsion</t>
  </si>
  <si>
    <t>Overige oliën</t>
  </si>
  <si>
    <t>Oxystaalovengas</t>
  </si>
  <si>
    <t>Petroleum</t>
  </si>
  <si>
    <t>Petroleumcokes</t>
  </si>
  <si>
    <t>TJ</t>
  </si>
  <si>
    <t>Raffinaderij grondstoffen</t>
  </si>
  <si>
    <t>Raffinaderijgas</t>
  </si>
  <si>
    <t>Ruwe aardolie</t>
  </si>
  <si>
    <t>RWZI biogas</t>
  </si>
  <si>
    <t>Smeeroliën</t>
  </si>
  <si>
    <t>Steenkoolbriketten en bruinkoolbriketten</t>
  </si>
  <si>
    <t>Steenkoolcokes/cokes</t>
  </si>
  <si>
    <t>Stortgas</t>
  </si>
  <si>
    <t>Sub-bitumineuze kool</t>
  </si>
  <si>
    <t>Turf</t>
  </si>
  <si>
    <t>Waterstof</t>
  </si>
  <si>
    <t>Zware stookolie</t>
  </si>
  <si>
    <t>ton CO2/eenheid</t>
  </si>
  <si>
    <t>Als een onderdeel niet wordt ingevuld dan wordt hier niets voor berekend.</t>
  </si>
  <si>
    <t>Diesel</t>
  </si>
  <si>
    <t>Aluminiumchloride, hydraatvorm</t>
  </si>
  <si>
    <t>Aluminiumsulfaat, poedervorm</t>
  </si>
  <si>
    <t>Glycerine uit epichloorhydrine</t>
  </si>
  <si>
    <t>Glycerine uit koolzaadolie</t>
  </si>
  <si>
    <t>IJzerchloridesulfaat</t>
  </si>
  <si>
    <t>IJzersulfaat</t>
  </si>
  <si>
    <t>Kalkmelk op basis van gebluste kalk</t>
  </si>
  <si>
    <t>Koolstofdioxide, vloeibaar</t>
  </si>
  <si>
    <t>Magnesiumchloride, anhydride</t>
  </si>
  <si>
    <t>Magnesiumchloride, hydraat, vaste vorm</t>
  </si>
  <si>
    <t>Magnesiumoxide</t>
  </si>
  <si>
    <t>Melasse uit suikerbieten</t>
  </si>
  <si>
    <t>Natriumchloride (zout), poedervorm</t>
  </si>
  <si>
    <t>Polyaluminiumchloride</t>
  </si>
  <si>
    <t>Polyaluminiumsulfaat, poeder</t>
  </si>
  <si>
    <t>Zoutzuur uit de reactie van waterstof en chloor</t>
  </si>
  <si>
    <t>Zoutzuur uit het Mannheim proces</t>
  </si>
  <si>
    <t>Zuurstof (vloeibaar)</t>
  </si>
  <si>
    <t>Zwavelzuur, vloeibaar</t>
  </si>
  <si>
    <t xml:space="preserve">Calciumoxide (ongebluste kalk; poeder) </t>
  </si>
  <si>
    <t>Influent CZV</t>
  </si>
  <si>
    <t>Effluent Ntot</t>
  </si>
  <si>
    <t>Influent Nkj</t>
  </si>
  <si>
    <t>Gewapend beton</t>
  </si>
  <si>
    <t>Drogestofgehalte slib</t>
  </si>
  <si>
    <t>energie</t>
  </si>
  <si>
    <t>materiaal</t>
  </si>
  <si>
    <t>Invulhulp</t>
  </si>
  <si>
    <t>Droging en verbranding van ontwaterd slib</t>
  </si>
  <si>
    <t>Levensduur gewapen beton</t>
  </si>
  <si>
    <t>jaar</t>
  </si>
  <si>
    <t>Primair energieverbruik</t>
  </si>
  <si>
    <t xml:space="preserve">Handleiding </t>
  </si>
  <si>
    <t>De basisgegevens kunnen worden ingevuld in het tabblad "Invulblad"</t>
  </si>
  <si>
    <t>Afvalwaterzuivering in GER-waarden</t>
  </si>
  <si>
    <t>ton ds</t>
  </si>
  <si>
    <t>Variant 1</t>
  </si>
  <si>
    <t xml:space="preserve">Ingevulde waarden </t>
  </si>
  <si>
    <t>variant 1</t>
  </si>
  <si>
    <t>Variant 2</t>
  </si>
  <si>
    <t>Variant 3</t>
  </si>
  <si>
    <t>Oplossing</t>
  </si>
  <si>
    <t>variant 2</t>
  </si>
  <si>
    <t>variant 3</t>
  </si>
  <si>
    <t>Antiscalants (polycarboxylaten)</t>
  </si>
  <si>
    <t>Azijnzuur</t>
  </si>
  <si>
    <t>Bio-ethanol</t>
  </si>
  <si>
    <t>IJzer(III)chloride</t>
  </si>
  <si>
    <t>Magnesiumchloride</t>
  </si>
  <si>
    <t xml:space="preserve">Natriumaluminaat oplossing </t>
  </si>
  <si>
    <t>Natriumhypochloriet</t>
  </si>
  <si>
    <t>Natronloog kwikcelproces</t>
  </si>
  <si>
    <t>Natronloog, membraanproces</t>
  </si>
  <si>
    <t>Natronloog, productiemix</t>
  </si>
  <si>
    <t>Zoutzuur, reactie propyleen en chloor</t>
  </si>
  <si>
    <t>Transport vloeibaar slib</t>
  </si>
  <si>
    <t>Transport ontwaterd slib</t>
  </si>
  <si>
    <t>km</t>
  </si>
  <si>
    <t>tonkm</t>
  </si>
  <si>
    <t>Naam</t>
  </si>
  <si>
    <t>Inkoop hulpstoffen</t>
  </si>
  <si>
    <t>hulpstoffen</t>
  </si>
  <si>
    <t xml:space="preserve">Inkoop elektriciteit </t>
  </si>
  <si>
    <t>Inkoop elektriciteit</t>
  </si>
  <si>
    <t>Omreken-factor</t>
  </si>
  <si>
    <t>Polymeer, anionisch</t>
  </si>
  <si>
    <t>Polymeer, anionisch, vloeibaar</t>
  </si>
  <si>
    <t xml:space="preserve">Polymeer, kationisch, poeder </t>
  </si>
  <si>
    <t>Polymeer, kationisch, vloeibaar</t>
  </si>
  <si>
    <t>Opstelling model: Mirabella Mulder Waste Water Management</t>
  </si>
  <si>
    <t>Actieve kool</t>
  </si>
  <si>
    <t>Variant 4</t>
  </si>
  <si>
    <t>variant 4</t>
  </si>
  <si>
    <t>Ref</t>
  </si>
  <si>
    <t>GAK</t>
  </si>
  <si>
    <t>Ozon + ZF</t>
  </si>
  <si>
    <t>Actieve kool geregenereerd</t>
  </si>
  <si>
    <t>Variant 5</t>
  </si>
  <si>
    <t>PACAS</t>
  </si>
  <si>
    <t>NB let bij bij GAK op bulkgewicht per m3 actieve kool</t>
  </si>
  <si>
    <t>Voor vragen, opmerkingen en verbetersuggesties kunt u contact opnemen met Mirabella Mulder (mmulder@mirabellamulder.nl)</t>
  </si>
  <si>
    <t>Dit model gaat specifiek in op de CO2-footprint voor verwijdering van microverontreinigingen</t>
  </si>
  <si>
    <t>Dit model berekent de CO2 footprint voor het zuiveren van communaal afvalwater in Nederland conform STOWA 2012-06</t>
  </si>
  <si>
    <t>In het standaard rekenmodel zijn realistische waarden ingevuld voor de verwijdering van microverontreinigingen met de referentietechnieken voor een rwzi van 100.000 inwoner-equivalenten</t>
  </si>
  <si>
    <t>voor de volgende 4 varianten</t>
  </si>
  <si>
    <t>NB: bij gebruik opgeloste hulpstoffen geleverde hoeveelheid invullen; % opgelost hulpstoffen vastgezet op de meest voorkomende percentages; hoeveelheid eventueel corrigeren</t>
  </si>
  <si>
    <t xml:space="preserve">Voorbeeld: geleverd ijzerchloride 40% 265.780 ton =&gt; 265.780 ton invullen; indien geleverd 45% =&gt; 265780*40/45 =236.249 ton invullen </t>
  </si>
  <si>
    <t>4. Nabehandeling rwzi-effluent met GAK-filtratie</t>
  </si>
  <si>
    <t>Er kan 1 extra techniek worden toegevoegd in vergelijking met deze 4 varianten</t>
  </si>
  <si>
    <t xml:space="preserve"> - Tabblad Grafiek CO2 footprint totaal</t>
  </si>
  <si>
    <t xml:space="preserve">Ter informatie worden tevens de totale CO2 footprints gepresenteerd in </t>
  </si>
  <si>
    <t>Inkoop energie rwzi exclusief verwijdering micro's</t>
  </si>
  <si>
    <t>ton CO2/jaar</t>
  </si>
  <si>
    <t xml:space="preserve">Inkoop hulpstoffen </t>
  </si>
  <si>
    <t xml:space="preserve">Materialen </t>
  </si>
  <si>
    <t>Overig invloed nabehandeling op rwzi</t>
  </si>
  <si>
    <t xml:space="preserve">Opvoeren rioolwater </t>
  </si>
  <si>
    <t>meter</t>
  </si>
  <si>
    <t>Gebruik spoelwater</t>
  </si>
  <si>
    <t>Afvoeren spoelwater</t>
  </si>
  <si>
    <t>Aanvoer rioolwater</t>
  </si>
  <si>
    <t xml:space="preserve">Geproduceerd slib </t>
  </si>
  <si>
    <t>Dimensionering verwijdering micro's</t>
  </si>
  <si>
    <t>Minimale jaarhoeveelheid nabehandeling</t>
  </si>
  <si>
    <t>m3/jaar</t>
  </si>
  <si>
    <t>Behandelde jaarhoeveelheid nabehandeling</t>
  </si>
  <si>
    <t>Te behandelen jaarhoeveelheid minimaal 70%</t>
  </si>
  <si>
    <t>Niet aanpasbaar</t>
  </si>
  <si>
    <t xml:space="preserve">Inkoop energie rwzi voor verwijdering micro's </t>
  </si>
  <si>
    <t>Percentage spoelwater</t>
  </si>
  <si>
    <t>Bij nageschakelde behandeling  8 meter opvoeren conform standaard</t>
  </si>
  <si>
    <t xml:space="preserve">De CO2-footprint voor deze technieke wordt vergeleken met de 3 referentie-technologieën voor aanvullende vergaande verwijdering van microverontreinigingen en wordt gepresenteerd in </t>
  </si>
  <si>
    <t>mg/l</t>
  </si>
  <si>
    <t>DOC effluent</t>
  </si>
  <si>
    <t>Energieverbruik productie en bewerking spoelwater</t>
  </si>
  <si>
    <t>Energieverbruik opvoeren rioolwater</t>
  </si>
  <si>
    <t>Mag alleen worden aangepast bij geïntegreerde maatregelen, niet bij nabehandeling</t>
  </si>
  <si>
    <t>Excl. opvoeren effluent en spoelwater; excl. productie en behandeling spoelwater</t>
  </si>
  <si>
    <t>kg CO2/eenheid</t>
  </si>
  <si>
    <t>2. PACAS</t>
  </si>
  <si>
    <t>3. Nabehandeling rwzi-effluent met ozon en zandfiltratie</t>
  </si>
  <si>
    <t xml:space="preserve"> - Tabblad CO2 footprint tot berek</t>
  </si>
  <si>
    <t>Tabblad CO2-footprint micro's: Dit tabblad dient als input conform de notitie richtlijnen haalbaarheidsstudies verwijdering micro's uit rwzi-afvalwater</t>
  </si>
  <si>
    <t>CO2 footprint verwijdering microverontreinigingen uit rwzi-afvalwater</t>
  </si>
  <si>
    <t>Ozon+zandfiltratie</t>
  </si>
  <si>
    <t>g CO2/m3</t>
  </si>
  <si>
    <t>CO2 footprint totaal</t>
  </si>
  <si>
    <t>ton CO2/jr</t>
  </si>
  <si>
    <t>behandelde hoeveelheid</t>
  </si>
  <si>
    <t>CO2 footprint verwijdering micro's</t>
  </si>
  <si>
    <t>Referentie</t>
  </si>
  <si>
    <t>Actieve kool biologische oorsprong</t>
  </si>
  <si>
    <t>Voor chemicaliën let op % oplossing (zie opmerking handleiding cel A8)</t>
  </si>
  <si>
    <t>Naam invullen</t>
  </si>
  <si>
    <t>Slibeindverwerking</t>
  </si>
  <si>
    <t xml:space="preserve">Invulblad parameters: geel gearceerde velden invullen voor zover van toepassing </t>
  </si>
  <si>
    <t>slibeindverwerking</t>
  </si>
  <si>
    <t>Citroenzuur</t>
  </si>
  <si>
    <t>1. Referentie rwzi met voorbezinking en gisting zonder vergaande verwijdering van microverontreinigingen</t>
  </si>
  <si>
    <t>NB voor referentietechnieken dient voor rioolwater naar communale Nederlandse rwzi's een DOC-waarde van 11 mg/l te worden aangehouden</t>
  </si>
  <si>
    <t>Bij nageschakelde behandeling  10% spoelwater toepassen conform standaard</t>
  </si>
  <si>
    <t xml:space="preserve">NB CO2-waarde obv haalbaarheidsstudie biokolen </t>
  </si>
  <si>
    <t>Waterstofperoxide</t>
  </si>
  <si>
    <t>Datum: 26-10-2019</t>
  </si>
  <si>
    <t>Voor de uitgangspunten van de referentie rwzi en de technieken 1 en 4 wordt verwezen naar STOWA 2015-27 voor techniek 2 naar STOWA 2018-02 en voor techniek 3 naar STOWA 2017-36</t>
  </si>
  <si>
    <t>Versie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</si>
</sst>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%"/>
    <numFmt numFmtId="167" formatCode="#,##0.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ill="1" applyBorder="1"/>
    <xf numFmtId="1" fontId="0" fillId="0" borderId="0" xfId="0" applyNumberFormat="1"/>
    <xf numFmtId="165" fontId="0" fillId="0" borderId="0" xfId="0" applyNumberFormat="1"/>
    <xf numFmtId="0" fontId="4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3" fontId="0" fillId="3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3" fillId="0" borderId="0" xfId="0" applyFont="1" applyFill="1" applyProtection="1">
      <protection hidden="1"/>
    </xf>
    <xf numFmtId="0" fontId="3" fillId="4" borderId="3" xfId="0" applyFont="1" applyFill="1" applyBorder="1" applyProtection="1">
      <protection hidden="1"/>
    </xf>
    <xf numFmtId="9" fontId="0" fillId="4" borderId="9" xfId="0" applyNumberForma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left" indent="1"/>
      <protection hidden="1"/>
    </xf>
    <xf numFmtId="9" fontId="5" fillId="4" borderId="9" xfId="1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0" fontId="6" fillId="2" borderId="3" xfId="0" applyFont="1" applyFill="1" applyBorder="1" applyAlignment="1" applyProtection="1">
      <alignment horizontal="left" indent="1"/>
      <protection hidden="1"/>
    </xf>
    <xf numFmtId="0" fontId="6" fillId="2" borderId="0" xfId="0" applyFont="1" applyFill="1" applyBorder="1" applyProtection="1">
      <protection hidden="1"/>
    </xf>
    <xf numFmtId="0" fontId="0" fillId="2" borderId="3" xfId="0" applyFill="1" applyBorder="1" applyAlignment="1" applyProtection="1">
      <alignment horizontal="left" indent="1"/>
      <protection hidden="1"/>
    </xf>
    <xf numFmtId="0" fontId="4" fillId="2" borderId="3" xfId="0" applyFont="1" applyFill="1" applyBorder="1" applyProtection="1">
      <protection hidden="1"/>
    </xf>
    <xf numFmtId="0" fontId="3" fillId="0" borderId="0" xfId="0" applyFont="1" applyProtection="1">
      <protection hidden="1"/>
    </xf>
    <xf numFmtId="3" fontId="6" fillId="2" borderId="0" xfId="0" applyNumberFormat="1" applyFont="1" applyFill="1" applyBorder="1" applyProtection="1">
      <protection hidden="1"/>
    </xf>
    <xf numFmtId="3" fontId="0" fillId="0" borderId="0" xfId="0" applyNumberFormat="1" applyFill="1" applyProtection="1">
      <protection hidden="1"/>
    </xf>
    <xf numFmtId="3" fontId="6" fillId="0" borderId="6" xfId="0" applyNumberFormat="1" applyFont="1" applyFill="1" applyBorder="1" applyAlignment="1" applyProtection="1">
      <alignment horizontal="center"/>
      <protection hidden="1"/>
    </xf>
    <xf numFmtId="3" fontId="6" fillId="0" borderId="5" xfId="0" applyNumberFormat="1" applyFont="1" applyFill="1" applyBorder="1" applyAlignment="1" applyProtection="1">
      <alignment horizontal="center"/>
      <protection hidden="1"/>
    </xf>
    <xf numFmtId="3" fontId="0" fillId="2" borderId="7" xfId="0" applyNumberFormat="1" applyFill="1" applyBorder="1" applyProtection="1">
      <protection hidden="1"/>
    </xf>
    <xf numFmtId="3" fontId="0" fillId="2" borderId="0" xfId="0" applyNumberFormat="1" applyFill="1" applyBorder="1" applyProtection="1">
      <protection hidden="1"/>
    </xf>
    <xf numFmtId="3" fontId="6" fillId="2" borderId="1" xfId="0" applyNumberFormat="1" applyFont="1" applyFill="1" applyBorder="1" applyProtection="1">
      <protection hidden="1"/>
    </xf>
    <xf numFmtId="3" fontId="0" fillId="0" borderId="0" xfId="0" applyNumberFormat="1"/>
    <xf numFmtId="3" fontId="3" fillId="2" borderId="0" xfId="0" applyNumberFormat="1" applyFont="1" applyFill="1" applyBorder="1" applyProtection="1">
      <protection hidden="1"/>
    </xf>
    <xf numFmtId="2" fontId="0" fillId="2" borderId="3" xfId="0" applyNumberFormat="1" applyFill="1" applyBorder="1" applyProtection="1">
      <protection hidden="1"/>
    </xf>
    <xf numFmtId="0" fontId="0" fillId="2" borderId="1" xfId="0" applyFill="1" applyBorder="1" applyAlignment="1" applyProtection="1">
      <alignment horizontal="left" indent="1"/>
      <protection hidden="1"/>
    </xf>
    <xf numFmtId="3" fontId="6" fillId="0" borderId="8" xfId="0" applyNumberFormat="1" applyFont="1" applyBorder="1" applyAlignment="1" applyProtection="1">
      <alignment horizontal="center"/>
      <protection hidden="1"/>
    </xf>
    <xf numFmtId="3" fontId="6" fillId="0" borderId="11" xfId="0" applyNumberFormat="1" applyFont="1" applyBorder="1" applyAlignment="1" applyProtection="1">
      <alignment horizontal="center"/>
      <protection hidden="1"/>
    </xf>
    <xf numFmtId="164" fontId="0" fillId="2" borderId="9" xfId="0" applyNumberFormat="1" applyFill="1" applyBorder="1" applyProtection="1">
      <protection hidden="1"/>
    </xf>
    <xf numFmtId="2" fontId="0" fillId="2" borderId="9" xfId="0" applyNumberFormat="1" applyFill="1" applyBorder="1" applyProtection="1">
      <protection hidden="1"/>
    </xf>
    <xf numFmtId="3" fontId="0" fillId="5" borderId="9" xfId="0" applyNumberFormat="1" applyFill="1" applyBorder="1" applyProtection="1">
      <protection hidden="1"/>
    </xf>
    <xf numFmtId="3" fontId="0" fillId="5" borderId="11" xfId="0" applyNumberFormat="1" applyFill="1" applyBorder="1" applyProtection="1">
      <protection hidden="1"/>
    </xf>
    <xf numFmtId="3" fontId="0" fillId="0" borderId="0" xfId="0" applyNumberForma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3" fontId="3" fillId="5" borderId="8" xfId="0" applyNumberFormat="1" applyFont="1" applyFill="1" applyBorder="1" applyProtection="1">
      <protection hidden="1"/>
    </xf>
    <xf numFmtId="3" fontId="5" fillId="5" borderId="9" xfId="0" applyNumberFormat="1" applyFont="1" applyFill="1" applyBorder="1" applyProtection="1">
      <protection hidden="1"/>
    </xf>
    <xf numFmtId="3" fontId="4" fillId="5" borderId="9" xfId="0" applyNumberFormat="1" applyFont="1" applyFill="1" applyBorder="1" applyProtection="1">
      <protection hidden="1"/>
    </xf>
    <xf numFmtId="3" fontId="6" fillId="0" borderId="8" xfId="0" applyNumberFormat="1" applyFont="1" applyBorder="1" applyAlignment="1" applyProtection="1">
      <alignment horizontal="right"/>
      <protection hidden="1"/>
    </xf>
    <xf numFmtId="3" fontId="6" fillId="0" borderId="6" xfId="0" applyNumberFormat="1" applyFont="1" applyFill="1" applyBorder="1" applyAlignment="1" applyProtection="1">
      <alignment horizontal="right"/>
      <protection hidden="1"/>
    </xf>
    <xf numFmtId="3" fontId="6" fillId="0" borderId="7" xfId="0" applyNumberFormat="1" applyFont="1" applyBorder="1" applyAlignment="1" applyProtection="1">
      <alignment horizontal="right"/>
      <protection hidden="1"/>
    </xf>
    <xf numFmtId="3" fontId="6" fillId="0" borderId="11" xfId="0" applyNumberFormat="1" applyFont="1" applyBorder="1" applyAlignment="1" applyProtection="1">
      <alignment horizontal="right"/>
      <protection hidden="1"/>
    </xf>
    <xf numFmtId="3" fontId="6" fillId="0" borderId="5" xfId="0" applyNumberFormat="1" applyFont="1" applyFill="1" applyBorder="1" applyAlignment="1" applyProtection="1">
      <alignment horizontal="right"/>
      <protection hidden="1"/>
    </xf>
    <xf numFmtId="3" fontId="6" fillId="0" borderId="10" xfId="0" applyNumberFormat="1" applyFont="1" applyBorder="1" applyAlignment="1" applyProtection="1">
      <alignment horizontal="right"/>
      <protection hidden="1"/>
    </xf>
    <xf numFmtId="9" fontId="4" fillId="5" borderId="8" xfId="0" applyNumberFormat="1" applyFont="1" applyFill="1" applyBorder="1" applyAlignment="1" applyProtection="1">
      <alignment horizontal="right"/>
      <protection hidden="1"/>
    </xf>
    <xf numFmtId="3" fontId="0" fillId="2" borderId="7" xfId="0" applyNumberFormat="1" applyFill="1" applyBorder="1" applyAlignment="1" applyProtection="1">
      <alignment horizontal="right"/>
      <protection hidden="1"/>
    </xf>
    <xf numFmtId="3" fontId="4" fillId="5" borderId="7" xfId="0" applyNumberFormat="1" applyFont="1" applyFill="1" applyBorder="1" applyAlignment="1" applyProtection="1">
      <alignment horizontal="right"/>
      <protection hidden="1"/>
    </xf>
    <xf numFmtId="3" fontId="0" fillId="5" borderId="0" xfId="0" applyNumberFormat="1" applyFill="1" applyBorder="1" applyAlignment="1" applyProtection="1">
      <alignment horizontal="right"/>
      <protection hidden="1"/>
    </xf>
    <xf numFmtId="3" fontId="0" fillId="2" borderId="0" xfId="0" applyNumberFormat="1" applyFill="1" applyBorder="1" applyAlignment="1" applyProtection="1">
      <alignment horizontal="right"/>
      <protection hidden="1"/>
    </xf>
    <xf numFmtId="3" fontId="6" fillId="2" borderId="0" xfId="0" applyNumberFormat="1" applyFont="1" applyFill="1" applyBorder="1" applyAlignment="1" applyProtection="1">
      <alignment horizontal="right"/>
      <protection hidden="1"/>
    </xf>
    <xf numFmtId="3" fontId="3" fillId="2" borderId="0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3" fontId="0" fillId="5" borderId="9" xfId="0" applyNumberFormat="1" applyFill="1" applyBorder="1" applyAlignment="1" applyProtection="1">
      <alignment horizontal="right"/>
      <protection hidden="1"/>
    </xf>
    <xf numFmtId="3" fontId="6" fillId="2" borderId="1" xfId="0" applyNumberFormat="1" applyFont="1" applyFill="1" applyBorder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3" fontId="0" fillId="0" borderId="0" xfId="0" applyNumberFormat="1" applyFill="1" applyAlignment="1" applyProtection="1">
      <alignment horizontal="right"/>
      <protection hidden="1"/>
    </xf>
    <xf numFmtId="9" fontId="0" fillId="4" borderId="9" xfId="0" applyNumberFormat="1" applyFill="1" applyBorder="1" applyAlignment="1" applyProtection="1">
      <alignment horizontal="right"/>
      <protection hidden="1"/>
    </xf>
    <xf numFmtId="9" fontId="5" fillId="4" borderId="9" xfId="1" applyFont="1" applyFill="1" applyBorder="1" applyAlignment="1" applyProtection="1">
      <alignment horizontal="right"/>
      <protection hidden="1"/>
    </xf>
    <xf numFmtId="0" fontId="3" fillId="4" borderId="12" xfId="0" applyFont="1" applyFill="1" applyBorder="1" applyProtection="1">
      <protection hidden="1"/>
    </xf>
    <xf numFmtId="3" fontId="0" fillId="0" borderId="10" xfId="0" applyNumberFormat="1" applyFill="1" applyBorder="1" applyProtection="1">
      <protection hidden="1"/>
    </xf>
    <xf numFmtId="0" fontId="0" fillId="4" borderId="13" xfId="0" applyFill="1" applyBorder="1" applyAlignment="1" applyProtection="1">
      <alignment horizontal="right"/>
      <protection hidden="1"/>
    </xf>
    <xf numFmtId="3" fontId="0" fillId="0" borderId="10" xfId="0" applyNumberFormat="1" applyFill="1" applyBorder="1" applyAlignment="1" applyProtection="1">
      <alignment horizontal="right"/>
      <protection hidden="1"/>
    </xf>
    <xf numFmtId="0" fontId="0" fillId="4" borderId="13" xfId="0" applyFill="1" applyBorder="1" applyAlignment="1" applyProtection="1">
      <alignment horizontal="center"/>
      <protection hidden="1"/>
    </xf>
    <xf numFmtId="3" fontId="7" fillId="3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wrapText="1"/>
      <protection hidden="1"/>
    </xf>
    <xf numFmtId="0" fontId="0" fillId="4" borderId="0" xfId="0" applyFill="1" applyProtection="1">
      <protection hidden="1"/>
    </xf>
    <xf numFmtId="0" fontId="0" fillId="4" borderId="10" xfId="0" applyFill="1" applyBorder="1" applyProtection="1">
      <protection hidden="1"/>
    </xf>
    <xf numFmtId="0" fontId="0" fillId="0" borderId="10" xfId="0" applyFill="1" applyBorder="1" applyProtection="1">
      <protection hidden="1"/>
    </xf>
    <xf numFmtId="164" fontId="0" fillId="2" borderId="8" xfId="0" applyNumberFormat="1" applyFill="1" applyBorder="1" applyProtection="1">
      <protection hidden="1"/>
    </xf>
    <xf numFmtId="1" fontId="0" fillId="2" borderId="9" xfId="0" applyNumberFormat="1" applyFill="1" applyBorder="1" applyProtection="1">
      <protection hidden="1"/>
    </xf>
    <xf numFmtId="0" fontId="3" fillId="2" borderId="0" xfId="0" applyFont="1" applyFill="1"/>
    <xf numFmtId="0" fontId="0" fillId="2" borderId="9" xfId="0" applyFill="1" applyBorder="1" applyAlignment="1" applyProtection="1">
      <alignment horizontal="left"/>
      <protection hidden="1"/>
    </xf>
    <xf numFmtId="3" fontId="1" fillId="2" borderId="1" xfId="0" applyNumberFormat="1" applyFont="1" applyFill="1" applyBorder="1" applyProtection="1">
      <protection hidden="1"/>
    </xf>
    <xf numFmtId="0" fontId="0" fillId="0" borderId="0" xfId="0" applyBorder="1"/>
    <xf numFmtId="0" fontId="5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0" borderId="0" xfId="0" applyFont="1"/>
    <xf numFmtId="0" fontId="0" fillId="0" borderId="0" xfId="0" applyBorder="1" applyProtection="1">
      <protection hidden="1"/>
    </xf>
    <xf numFmtId="0" fontId="0" fillId="2" borderId="5" xfId="0" applyFill="1" applyBorder="1" applyAlignment="1" applyProtection="1">
      <alignment horizontal="left" indent="1"/>
      <protection hidden="1"/>
    </xf>
    <xf numFmtId="164" fontId="0" fillId="2" borderId="11" xfId="0" applyNumberFormat="1" applyFill="1" applyBorder="1" applyProtection="1">
      <protection hidden="1"/>
    </xf>
    <xf numFmtId="3" fontId="6" fillId="2" borderId="10" xfId="0" applyNumberFormat="1" applyFont="1" applyFill="1" applyBorder="1" applyProtection="1">
      <protection hidden="1"/>
    </xf>
    <xf numFmtId="3" fontId="0" fillId="5" borderId="10" xfId="0" applyNumberFormat="1" applyFill="1" applyBorder="1" applyAlignment="1" applyProtection="1">
      <alignment horizontal="right"/>
      <protection hidden="1"/>
    </xf>
    <xf numFmtId="3" fontId="6" fillId="2" borderId="10" xfId="0" applyNumberFormat="1" applyFont="1" applyFill="1" applyBorder="1" applyAlignment="1" applyProtection="1">
      <alignment horizontal="right"/>
      <protection hidden="1"/>
    </xf>
    <xf numFmtId="0" fontId="0" fillId="0" borderId="10" xfId="0" applyBorder="1"/>
    <xf numFmtId="0" fontId="3" fillId="0" borderId="0" xfId="0" applyFont="1" applyBorder="1" applyProtection="1">
      <protection hidden="1"/>
    </xf>
    <xf numFmtId="164" fontId="3" fillId="2" borderId="9" xfId="0" applyNumberFormat="1" applyFont="1" applyFill="1" applyBorder="1" applyProtection="1"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3" fillId="5" borderId="9" xfId="0" applyNumberFormat="1" applyFont="1" applyFill="1" applyBorder="1" applyProtection="1">
      <protection hidden="1"/>
    </xf>
    <xf numFmtId="0" fontId="3" fillId="0" borderId="0" xfId="0" applyFont="1" applyBorder="1"/>
    <xf numFmtId="167" fontId="0" fillId="0" borderId="0" xfId="0" applyNumberFormat="1" applyFill="1" applyAlignment="1" applyProtection="1">
      <alignment horizontal="right"/>
      <protection hidden="1"/>
    </xf>
    <xf numFmtId="0" fontId="5" fillId="4" borderId="5" xfId="0" applyFont="1" applyFill="1" applyBorder="1" applyAlignment="1" applyProtection="1">
      <alignment horizontal="left" indent="1"/>
      <protection hidden="1"/>
    </xf>
    <xf numFmtId="166" fontId="5" fillId="4" borderId="11" xfId="1" applyNumberFormat="1" applyFont="1" applyFill="1" applyBorder="1" applyAlignment="1" applyProtection="1">
      <alignment horizontal="right"/>
      <protection hidden="1"/>
    </xf>
    <xf numFmtId="9" fontId="5" fillId="4" borderId="11" xfId="1" applyFont="1" applyFill="1" applyBorder="1" applyAlignment="1" applyProtection="1">
      <alignment horizontal="right"/>
      <protection hidden="1"/>
    </xf>
    <xf numFmtId="9" fontId="5" fillId="4" borderId="11" xfId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>
      <alignment wrapText="1"/>
    </xf>
    <xf numFmtId="0" fontId="3" fillId="0" borderId="0" xfId="0" applyFont="1" applyFill="1"/>
    <xf numFmtId="0" fontId="1" fillId="0" borderId="0" xfId="0" applyFont="1" applyFill="1"/>
    <xf numFmtId="3" fontId="1" fillId="0" borderId="3" xfId="0" applyNumberFormat="1" applyFont="1" applyFill="1" applyBorder="1" applyProtection="1">
      <protection hidden="1"/>
    </xf>
    <xf numFmtId="3" fontId="0" fillId="0" borderId="3" xfId="0" applyNumberFormat="1" applyFill="1" applyBorder="1" applyProtection="1">
      <protection hidden="1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4" fontId="0" fillId="0" borderId="0" xfId="0" applyNumberFormat="1" applyFill="1" applyBorder="1"/>
    <xf numFmtId="3" fontId="0" fillId="0" borderId="0" xfId="0" applyNumberFormat="1" applyBorder="1"/>
    <xf numFmtId="10" fontId="0" fillId="3" borderId="1" xfId="1" applyNumberFormat="1" applyFont="1" applyFill="1" applyBorder="1" applyProtection="1">
      <protection locked="0"/>
    </xf>
    <xf numFmtId="0" fontId="10" fillId="0" borderId="0" xfId="2" applyBorder="1" applyAlignment="1" applyProtection="1">
      <alignment vertical="center"/>
    </xf>
    <xf numFmtId="1" fontId="1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0" xfId="0" applyProtection="1"/>
    <xf numFmtId="0" fontId="4" fillId="0" borderId="0" xfId="0" applyFont="1" applyFill="1" applyBorder="1" applyProtection="1"/>
    <xf numFmtId="0" fontId="0" fillId="0" borderId="0" xfId="0" applyFill="1" applyBorder="1" applyAlignment="1" applyProtection="1">
      <alignment wrapText="1"/>
    </xf>
    <xf numFmtId="3" fontId="4" fillId="0" borderId="0" xfId="0" applyNumberFormat="1" applyFont="1" applyFill="1" applyBorder="1" applyProtection="1"/>
    <xf numFmtId="0" fontId="0" fillId="0" borderId="0" xfId="0" applyAlignment="1" applyProtection="1">
      <alignment wrapText="1"/>
    </xf>
    <xf numFmtId="0" fontId="4" fillId="0" borderId="2" xfId="0" applyFont="1" applyFill="1" applyBorder="1" applyProtection="1"/>
    <xf numFmtId="0" fontId="4" fillId="0" borderId="6" xfId="0" applyFont="1" applyFill="1" applyBorder="1" applyAlignment="1" applyProtection="1">
      <alignment wrapText="1"/>
    </xf>
    <xf numFmtId="3" fontId="4" fillId="0" borderId="2" xfId="0" applyNumberFormat="1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wrapText="1"/>
    </xf>
    <xf numFmtId="0" fontId="4" fillId="0" borderId="3" xfId="0" applyFont="1" applyFill="1" applyBorder="1" applyProtection="1"/>
    <xf numFmtId="0" fontId="4" fillId="0" borderId="3" xfId="0" applyFont="1" applyFill="1" applyBorder="1" applyAlignment="1" applyProtection="1">
      <alignment wrapText="1"/>
    </xf>
    <xf numFmtId="3" fontId="4" fillId="0" borderId="1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0" fillId="0" borderId="3" xfId="0" applyFill="1" applyBorder="1" applyProtection="1"/>
    <xf numFmtId="0" fontId="0" fillId="0" borderId="3" xfId="0" applyFill="1" applyBorder="1" applyAlignment="1" applyProtection="1">
      <alignment wrapText="1"/>
    </xf>
    <xf numFmtId="3" fontId="7" fillId="0" borderId="1" xfId="0" applyNumberFormat="1" applyFont="1" applyFill="1" applyBorder="1" applyProtection="1"/>
    <xf numFmtId="0" fontId="0" fillId="0" borderId="1" xfId="0" applyBorder="1" applyAlignment="1" applyProtection="1">
      <alignment wrapText="1"/>
    </xf>
    <xf numFmtId="0" fontId="4" fillId="2" borderId="1" xfId="0" applyFont="1" applyFill="1" applyBorder="1" applyProtection="1"/>
    <xf numFmtId="0" fontId="0" fillId="2" borderId="3" xfId="0" applyFill="1" applyBorder="1" applyAlignment="1" applyProtection="1">
      <alignment wrapText="1"/>
    </xf>
    <xf numFmtId="3" fontId="1" fillId="2" borderId="1" xfId="0" applyNumberFormat="1" applyFont="1" applyFill="1" applyBorder="1" applyProtection="1"/>
    <xf numFmtId="3" fontId="0" fillId="2" borderId="1" xfId="0" applyNumberFormat="1" applyFill="1" applyBorder="1" applyProtection="1"/>
    <xf numFmtId="0" fontId="0" fillId="2" borderId="1" xfId="0" applyFill="1" applyBorder="1" applyProtection="1"/>
    <xf numFmtId="3" fontId="7" fillId="2" borderId="1" xfId="0" applyNumberFormat="1" applyFont="1" applyFill="1" applyBorder="1" applyProtection="1"/>
    <xf numFmtId="3" fontId="4" fillId="2" borderId="1" xfId="0" applyNumberFormat="1" applyFont="1" applyFill="1" applyBorder="1" applyProtection="1"/>
    <xf numFmtId="0" fontId="1" fillId="2" borderId="1" xfId="0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wrapText="1"/>
    </xf>
    <xf numFmtId="0" fontId="3" fillId="0" borderId="0" xfId="0" applyFont="1" applyProtection="1"/>
    <xf numFmtId="0" fontId="3" fillId="2" borderId="1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3" fontId="3" fillId="2" borderId="1" xfId="0" applyNumberFormat="1" applyFont="1" applyFill="1" applyBorder="1" applyProtection="1"/>
    <xf numFmtId="0" fontId="3" fillId="0" borderId="1" xfId="0" applyFont="1" applyBorder="1" applyAlignment="1" applyProtection="1">
      <alignment wrapText="1"/>
    </xf>
    <xf numFmtId="0" fontId="1" fillId="0" borderId="0" xfId="0" applyFont="1" applyProtection="1"/>
    <xf numFmtId="10" fontId="0" fillId="2" borderId="1" xfId="1" applyNumberFormat="1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horizontal="left" indent="1"/>
    </xf>
    <xf numFmtId="0" fontId="6" fillId="2" borderId="3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9" fontId="3" fillId="2" borderId="3" xfId="1" applyFont="1" applyFill="1" applyBorder="1" applyAlignment="1" applyProtection="1">
      <alignment wrapText="1"/>
    </xf>
    <xf numFmtId="0" fontId="6" fillId="2" borderId="1" xfId="0" applyFont="1" applyFill="1" applyBorder="1" applyProtection="1"/>
    <xf numFmtId="0" fontId="0" fillId="2" borderId="0" xfId="0" applyFill="1" applyAlignment="1" applyProtection="1">
      <alignment wrapText="1"/>
    </xf>
    <xf numFmtId="9" fontId="0" fillId="2" borderId="3" xfId="1" applyFont="1" applyFill="1" applyBorder="1" applyAlignment="1" applyProtection="1">
      <alignment wrapText="1"/>
    </xf>
    <xf numFmtId="9" fontId="0" fillId="2" borderId="1" xfId="1" applyFont="1" applyFill="1" applyBorder="1" applyProtection="1"/>
    <xf numFmtId="0" fontId="0" fillId="2" borderId="0" xfId="0" applyFill="1" applyBorder="1" applyAlignment="1" applyProtection="1">
      <alignment wrapText="1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3" fontId="0" fillId="0" borderId="0" xfId="0" applyNumberFormat="1" applyFill="1" applyProtection="1"/>
    <xf numFmtId="3" fontId="6" fillId="0" borderId="0" xfId="0" applyNumberFormat="1" applyFont="1" applyFill="1" applyProtection="1"/>
    <xf numFmtId="1" fontId="0" fillId="0" borderId="0" xfId="0" applyNumberFormat="1" applyFill="1" applyProtection="1"/>
    <xf numFmtId="3" fontId="1" fillId="6" borderId="1" xfId="0" applyNumberFormat="1" applyFont="1" applyFill="1" applyBorder="1" applyProtection="1">
      <protection locked="0"/>
    </xf>
    <xf numFmtId="0" fontId="6" fillId="2" borderId="4" xfId="0" applyFont="1" applyFill="1" applyBorder="1" applyProtection="1"/>
    <xf numFmtId="0" fontId="0" fillId="2" borderId="10" xfId="0" applyFill="1" applyBorder="1" applyAlignment="1" applyProtection="1">
      <alignment wrapText="1"/>
    </xf>
    <xf numFmtId="9" fontId="0" fillId="2" borderId="5" xfId="1" applyFont="1" applyFill="1" applyBorder="1" applyAlignment="1" applyProtection="1">
      <alignment wrapText="1"/>
    </xf>
    <xf numFmtId="3" fontId="0" fillId="2" borderId="4" xfId="0" applyNumberFormat="1" applyFill="1" applyBorder="1" applyProtection="1"/>
    <xf numFmtId="0" fontId="0" fillId="0" borderId="4" xfId="0" applyBorder="1" applyAlignment="1" applyProtection="1">
      <alignment wrapText="1"/>
    </xf>
    <xf numFmtId="3" fontId="0" fillId="2" borderId="3" xfId="0" applyNumberFormat="1" applyFill="1" applyBorder="1" applyProtection="1"/>
    <xf numFmtId="9" fontId="0" fillId="2" borderId="3" xfId="1" applyFont="1" applyFill="1" applyBorder="1" applyProtection="1"/>
    <xf numFmtId="0" fontId="1" fillId="0" borderId="9" xfId="0" applyFont="1" applyBorder="1" applyAlignment="1" applyProtection="1">
      <alignment wrapText="1"/>
    </xf>
    <xf numFmtId="3" fontId="0" fillId="3" borderId="15" xfId="0" applyNumberFormat="1" applyFill="1" applyBorder="1" applyProtection="1">
      <protection locked="0"/>
    </xf>
    <xf numFmtId="3" fontId="0" fillId="3" borderId="16" xfId="0" applyNumberFormat="1" applyFill="1" applyBorder="1" applyProtection="1">
      <protection locked="0"/>
    </xf>
    <xf numFmtId="3" fontId="0" fillId="3" borderId="17" xfId="0" applyNumberFormat="1" applyFill="1" applyBorder="1" applyProtection="1">
      <protection locked="0"/>
    </xf>
    <xf numFmtId="9" fontId="0" fillId="3" borderId="16" xfId="1" applyFont="1" applyFill="1" applyBorder="1" applyProtection="1">
      <protection locked="0"/>
    </xf>
    <xf numFmtId="1" fontId="7" fillId="4" borderId="12" xfId="0" applyNumberFormat="1" applyFont="1" applyFill="1" applyBorder="1" applyAlignment="1" applyProtection="1">
      <alignment horizontal="right"/>
      <protection hidden="1"/>
    </xf>
    <xf numFmtId="1" fontId="7" fillId="4" borderId="14" xfId="0" applyNumberFormat="1" applyFont="1" applyFill="1" applyBorder="1" applyAlignment="1" applyProtection="1">
      <alignment horizontal="right"/>
      <protection hidden="1"/>
    </xf>
    <xf numFmtId="0" fontId="4" fillId="0" borderId="0" xfId="0" applyFont="1"/>
    <xf numFmtId="0" fontId="1" fillId="2" borderId="3" xfId="0" applyFont="1" applyFill="1" applyBorder="1" applyAlignment="1" applyProtection="1">
      <alignment horizontal="left" indent="1"/>
      <protection hidden="1"/>
    </xf>
    <xf numFmtId="164" fontId="1" fillId="2" borderId="9" xfId="0" applyNumberFormat="1" applyFont="1" applyFill="1" applyBorder="1" applyProtection="1">
      <protection hidden="1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4" borderId="12" xfId="0" applyFont="1" applyFill="1" applyBorder="1" applyAlignment="1" applyProtection="1">
      <alignment horizontal="center"/>
      <protection hidden="1"/>
    </xf>
    <xf numFmtId="1" fontId="3" fillId="4" borderId="3" xfId="0" applyNumberFormat="1" applyFont="1" applyFill="1" applyBorder="1" applyAlignment="1" applyProtection="1">
      <alignment horizontal="center"/>
      <protection hidden="1"/>
    </xf>
    <xf numFmtId="1" fontId="5" fillId="4" borderId="3" xfId="0" applyNumberFormat="1" applyFont="1" applyFill="1" applyBorder="1" applyAlignment="1" applyProtection="1">
      <alignment horizontal="center"/>
      <protection hidden="1"/>
    </xf>
    <xf numFmtId="1" fontId="5" fillId="4" borderId="5" xfId="0" applyNumberFormat="1" applyFont="1" applyFill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3" fillId="0" borderId="5" xfId="0" applyNumberFormat="1" applyFont="1" applyBorder="1" applyAlignment="1" applyProtection="1">
      <alignment horizontal="center"/>
      <protection hidden="1"/>
    </xf>
    <xf numFmtId="3" fontId="4" fillId="5" borderId="6" xfId="0" applyNumberFormat="1" applyFont="1" applyFill="1" applyBorder="1" applyAlignment="1" applyProtection="1">
      <alignment horizontal="center"/>
      <protection hidden="1"/>
    </xf>
    <xf numFmtId="3" fontId="0" fillId="5" borderId="3" xfId="0" applyNumberFormat="1" applyFill="1" applyBorder="1" applyAlignment="1" applyProtection="1">
      <alignment horizontal="center"/>
      <protection hidden="1"/>
    </xf>
    <xf numFmtId="3" fontId="4" fillId="5" borderId="3" xfId="0" applyNumberFormat="1" applyFont="1" applyFill="1" applyBorder="1" applyAlignment="1" applyProtection="1">
      <alignment horizontal="center"/>
      <protection hidden="1"/>
    </xf>
    <xf numFmtId="3" fontId="0" fillId="5" borderId="5" xfId="0" applyNumberFormat="1" applyFill="1" applyBorder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3" fontId="0" fillId="0" borderId="0" xfId="0" applyNumberFormat="1" applyFill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0" borderId="0" xfId="0" applyAlignment="1">
      <alignment horizontal="center"/>
    </xf>
    <xf numFmtId="2" fontId="0" fillId="0" borderId="0" xfId="0" applyNumberFormat="1" applyProtection="1">
      <protection hidden="1"/>
    </xf>
    <xf numFmtId="2" fontId="0" fillId="0" borderId="10" xfId="0" applyNumberFormat="1" applyFill="1" applyBorder="1" applyProtection="1">
      <protection hidden="1"/>
    </xf>
    <xf numFmtId="2" fontId="0" fillId="4" borderId="10" xfId="0" applyNumberFormat="1" applyFill="1" applyBorder="1" applyProtection="1">
      <protection hidden="1"/>
    </xf>
    <xf numFmtId="2" fontId="0" fillId="4" borderId="0" xfId="0" applyNumberFormat="1" applyFill="1" applyProtection="1">
      <protection hidden="1"/>
    </xf>
    <xf numFmtId="2" fontId="3" fillId="0" borderId="2" xfId="0" applyNumberFormat="1" applyFont="1" applyFill="1" applyBorder="1" applyAlignment="1" applyProtection="1">
      <alignment horizontal="left" wrapText="1"/>
      <protection hidden="1"/>
    </xf>
    <xf numFmtId="2" fontId="3" fillId="0" borderId="1" xfId="0" applyNumberFormat="1" applyFont="1" applyBorder="1" applyAlignment="1" applyProtection="1">
      <alignment horizontal="left" wrapText="1"/>
      <protection hidden="1"/>
    </xf>
    <xf numFmtId="2" fontId="0" fillId="2" borderId="2" xfId="0" applyNumberFormat="1" applyFill="1" applyBorder="1" applyProtection="1">
      <protection hidden="1"/>
    </xf>
    <xf numFmtId="2" fontId="3" fillId="2" borderId="1" xfId="0" applyNumberFormat="1" applyFont="1" applyFill="1" applyBorder="1" applyProtection="1">
      <protection hidden="1"/>
    </xf>
    <xf numFmtId="2" fontId="6" fillId="2" borderId="1" xfId="0" applyNumberFormat="1" applyFont="1" applyFill="1" applyBorder="1" applyProtection="1">
      <protection hidden="1"/>
    </xf>
    <xf numFmtId="2" fontId="0" fillId="2" borderId="4" xfId="0" applyNumberFormat="1" applyFill="1" applyBorder="1" applyProtection="1">
      <protection hidden="1"/>
    </xf>
    <xf numFmtId="2" fontId="0" fillId="0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</xf>
    <xf numFmtId="3" fontId="1" fillId="3" borderId="16" xfId="0" applyNumberFormat="1" applyFont="1" applyFill="1" applyBorder="1" applyProtection="1">
      <protection locked="0"/>
    </xf>
    <xf numFmtId="4" fontId="0" fillId="2" borderId="1" xfId="0" applyNumberFormat="1" applyFill="1" applyBorder="1" applyProtection="1"/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nl-NL">
                <a:solidFill>
                  <a:sysClr val="windowText" lastClr="000000"/>
                </a:solidFill>
              </a:rPr>
              <a:t>CO2 footprint verwijdering micro's</a:t>
            </a:r>
          </a:p>
        </c:rich>
      </c:tx>
      <c:layout>
        <c:manualLayout>
          <c:xMode val="edge"/>
          <c:yMode val="edge"/>
          <c:x val="0.27040355836553925"/>
          <c:y val="2.52100840336134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53670061153863"/>
          <c:y val="0.16688326177495902"/>
          <c:w val="0.62349529317684926"/>
          <c:h val="0.48512115107794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'CO2 footprint micro''s'!$C$6</c:f>
              <c:strCache>
                <c:ptCount val="1"/>
                <c:pt idx="0">
                  <c:v>g CO2/m3</c:v>
                </c:pt>
              </c:strCache>
            </c:strRef>
          </c:tx>
          <c:invertIfNegative val="0"/>
          <c:cat>
            <c:strRef>
              <c:f>'CO2 footprint micro''s'!$E$3:$H$3</c:f>
              <c:strCache>
                <c:ptCount val="4"/>
                <c:pt idx="0">
                  <c:v>PACAS</c:v>
                </c:pt>
                <c:pt idx="1">
                  <c:v>Ozon+zandfiltratie</c:v>
                </c:pt>
                <c:pt idx="2">
                  <c:v>GAK</c:v>
                </c:pt>
                <c:pt idx="3">
                  <c:v>Naam invullen</c:v>
                </c:pt>
              </c:strCache>
            </c:strRef>
          </c:cat>
          <c:val>
            <c:numRef>
              <c:f>'CO2 footprint micro''s'!$E$6:$H$6</c:f>
              <c:numCache>
                <c:formatCode>0</c:formatCode>
                <c:ptCount val="4"/>
                <c:pt idx="0">
                  <c:v>121.70470713869886</c:v>
                </c:pt>
                <c:pt idx="1">
                  <c:v>128.16856664492281</c:v>
                </c:pt>
                <c:pt idx="2">
                  <c:v>324.94275937833282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2-4A1E-90E4-FD3E842E2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25984"/>
        <c:axId val="167821696"/>
      </c:barChart>
      <c:catAx>
        <c:axId val="16722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</a:defRPr>
            </a:pPr>
            <a:endParaRPr lang="nl-NL"/>
          </a:p>
        </c:txPr>
        <c:crossAx val="167821696"/>
        <c:crosses val="autoZero"/>
        <c:auto val="1"/>
        <c:lblAlgn val="ctr"/>
        <c:lblOffset val="100"/>
        <c:noMultiLvlLbl val="0"/>
      </c:catAx>
      <c:valAx>
        <c:axId val="167821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g CO2/m3 behandeld rioolwater</a:t>
                </a:r>
              </a:p>
            </c:rich>
          </c:tx>
          <c:layout>
            <c:manualLayout>
              <c:xMode val="edge"/>
              <c:yMode val="edge"/>
              <c:x val="7.1468155545206108E-2"/>
              <c:y val="0.1409027999940374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nl-NL"/>
          </a:p>
        </c:txPr>
        <c:crossAx val="16722598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CO2 footprint totale</a:t>
            </a:r>
            <a:r>
              <a:rPr lang="nl-NL" baseline="0"/>
              <a:t> rwzi inclusief verwijdering micro's</a:t>
            </a:r>
            <a:endParaRPr lang="nl-NL"/>
          </a:p>
        </c:rich>
      </c:tx>
      <c:layout>
        <c:manualLayout>
          <c:xMode val="edge"/>
          <c:yMode val="edge"/>
          <c:x val="0.13561724543176562"/>
          <c:y val="8.7197111153153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50465356773583"/>
          <c:y val="0.17288135593220341"/>
          <c:w val="0.57868495189953895"/>
          <c:h val="0.7237288135593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 footprint tot berek'!$B$5</c:f>
              <c:strCache>
                <c:ptCount val="1"/>
                <c:pt idx="0">
                  <c:v>energie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('CO2 footprint tot berek'!$F$10,'CO2 footprint tot berek'!$I$10,'CO2 footprint tot berek'!$L$10,'CO2 footprint tot berek'!$O$10,'CO2 footprint tot berek'!$S$10)</c:f>
              <c:strCache>
                <c:ptCount val="5"/>
                <c:pt idx="0">
                  <c:v>Referentie</c:v>
                </c:pt>
                <c:pt idx="1">
                  <c:v>PACAS</c:v>
                </c:pt>
                <c:pt idx="2">
                  <c:v>Ozon + ZF</c:v>
                </c:pt>
                <c:pt idx="3">
                  <c:v>GAK</c:v>
                </c:pt>
                <c:pt idx="4">
                  <c:v>Naam invullen</c:v>
                </c:pt>
              </c:strCache>
            </c:strRef>
          </c:cat>
          <c:val>
            <c:numRef>
              <c:f>('CO2 footprint tot berek'!$F$5,'CO2 footprint tot berek'!$I$5,'CO2 footprint tot berek'!$L$5,'CO2 footprint tot berek'!$O$5,'CO2 footprint tot berek'!$S$5)</c:f>
              <c:numCache>
                <c:formatCode>0</c:formatCode>
                <c:ptCount val="5"/>
                <c:pt idx="0">
                  <c:v>669.84170161290308</c:v>
                </c:pt>
                <c:pt idx="1">
                  <c:v>717.76240561290308</c:v>
                </c:pt>
                <c:pt idx="2">
                  <c:v>1169.3804826129031</c:v>
                </c:pt>
                <c:pt idx="3">
                  <c:v>827.36949661290305</c:v>
                </c:pt>
                <c:pt idx="4">
                  <c:v>669.84170161290308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A-4F4A-8790-890DEB2BA2A3}"/>
            </c:ext>
          </c:extLst>
        </c:ser>
        <c:ser>
          <c:idx val="1"/>
          <c:order val="1"/>
          <c:tx>
            <c:strRef>
              <c:f>'CO2 footprint tot berek'!$B$6</c:f>
              <c:strCache>
                <c:ptCount val="1"/>
                <c:pt idx="0">
                  <c:v>hulpstoffen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('CO2 footprint tot berek'!$F$10,'CO2 footprint tot berek'!$I$10,'CO2 footprint tot berek'!$L$10,'CO2 footprint tot berek'!$O$10,'CO2 footprint tot berek'!$S$10)</c:f>
              <c:strCache>
                <c:ptCount val="5"/>
                <c:pt idx="0">
                  <c:v>Referentie</c:v>
                </c:pt>
                <c:pt idx="1">
                  <c:v>PACAS</c:v>
                </c:pt>
                <c:pt idx="2">
                  <c:v>Ozon + ZF</c:v>
                </c:pt>
                <c:pt idx="3">
                  <c:v>GAK</c:v>
                </c:pt>
                <c:pt idx="4">
                  <c:v>Naam invullen</c:v>
                </c:pt>
              </c:strCache>
            </c:strRef>
          </c:cat>
          <c:val>
            <c:numRef>
              <c:f>('CO2 footprint tot berek'!$F$6,'CO2 footprint tot berek'!$I$6,'CO2 footprint tot berek'!$L$6,'CO2 footprint tot berek'!$O$6,'CO2 footprint tot berek'!$S$6)</c:f>
              <c:numCache>
                <c:formatCode>0</c:formatCode>
                <c:ptCount val="5"/>
                <c:pt idx="0">
                  <c:v>193.01700097333335</c:v>
                </c:pt>
                <c:pt idx="1">
                  <c:v>1072.1267978047933</c:v>
                </c:pt>
                <c:pt idx="2">
                  <c:v>380.05833097333334</c:v>
                </c:pt>
                <c:pt idx="3">
                  <c:v>1777.949914751111</c:v>
                </c:pt>
                <c:pt idx="4">
                  <c:v>193.01700097333335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A-4F4A-8790-890DEB2BA2A3}"/>
            </c:ext>
          </c:extLst>
        </c:ser>
        <c:ser>
          <c:idx val="2"/>
          <c:order val="2"/>
          <c:tx>
            <c:strRef>
              <c:f>'CO2 footprint tot berek'!$B$7</c:f>
              <c:strCache>
                <c:ptCount val="1"/>
                <c:pt idx="0">
                  <c:v>slibeindverwerking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('CO2 footprint tot berek'!$F$10,'CO2 footprint tot berek'!$I$10,'CO2 footprint tot berek'!$L$10,'CO2 footprint tot berek'!$O$10,'CO2 footprint tot berek'!$S$10)</c:f>
              <c:strCache>
                <c:ptCount val="5"/>
                <c:pt idx="0">
                  <c:v>Referentie</c:v>
                </c:pt>
                <c:pt idx="1">
                  <c:v>PACAS</c:v>
                </c:pt>
                <c:pt idx="2">
                  <c:v>Ozon + ZF</c:v>
                </c:pt>
                <c:pt idx="3">
                  <c:v>GAK</c:v>
                </c:pt>
                <c:pt idx="4">
                  <c:v>Naam invullen</c:v>
                </c:pt>
              </c:strCache>
            </c:strRef>
          </c:cat>
          <c:val>
            <c:numRef>
              <c:f>('CO2 footprint tot berek'!$F$7,'CO2 footprint tot berek'!$I$7,'CO2 footprint tot berek'!$L$7,'CO2 footprint tot berek'!$O$7,'CO2 footprint tot berek'!$S$7)</c:f>
              <c:numCache>
                <c:formatCode>0</c:formatCode>
                <c:ptCount val="5"/>
                <c:pt idx="0">
                  <c:v>385.57151111111114</c:v>
                </c:pt>
                <c:pt idx="1">
                  <c:v>391.3854238311111</c:v>
                </c:pt>
                <c:pt idx="2">
                  <c:v>385.57151111111114</c:v>
                </c:pt>
                <c:pt idx="3">
                  <c:v>385.57151111111114</c:v>
                </c:pt>
                <c:pt idx="4">
                  <c:v>385.57151111111114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A-4F4A-8790-890DEB2BA2A3}"/>
            </c:ext>
          </c:extLst>
        </c:ser>
        <c:ser>
          <c:idx val="3"/>
          <c:order val="3"/>
          <c:tx>
            <c:strRef>
              <c:f>'CO2 footprint tot berek'!$B$8</c:f>
              <c:strCache>
                <c:ptCount val="1"/>
                <c:pt idx="0">
                  <c:v>materiaal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('CO2 footprint tot berek'!$F$10,'CO2 footprint tot berek'!$I$10,'CO2 footprint tot berek'!$L$10,'CO2 footprint tot berek'!$O$10,'CO2 footprint tot berek'!$S$10)</c:f>
              <c:strCache>
                <c:ptCount val="5"/>
                <c:pt idx="0">
                  <c:v>Referentie</c:v>
                </c:pt>
                <c:pt idx="1">
                  <c:v>PACAS</c:v>
                </c:pt>
                <c:pt idx="2">
                  <c:v>Ozon + ZF</c:v>
                </c:pt>
                <c:pt idx="3">
                  <c:v>GAK</c:v>
                </c:pt>
                <c:pt idx="4">
                  <c:v>Naam invullen</c:v>
                </c:pt>
              </c:strCache>
            </c:strRef>
          </c:cat>
          <c:val>
            <c:numRef>
              <c:f>('CO2 footprint tot berek'!$F$8,'CO2 footprint tot berek'!$I$8,'CO2 footprint tot berek'!$L$8,'CO2 footprint tot berek'!$O$8,'CO2 footprint tot berek'!$S$8)</c:f>
              <c:numCache>
                <c:formatCode>0</c:formatCode>
                <c:ptCount val="5"/>
                <c:pt idx="0">
                  <c:v>16.846666666666668</c:v>
                </c:pt>
                <c:pt idx="1">
                  <c:v>16.868833333333331</c:v>
                </c:pt>
                <c:pt idx="2">
                  <c:v>17.954999999999998</c:v>
                </c:pt>
                <c:pt idx="3">
                  <c:v>17.866333333333333</c:v>
                </c:pt>
                <c:pt idx="4">
                  <c:v>16.846666666666668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CA-4F4A-8790-890DEB2BA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003840"/>
        <c:axId val="168022016"/>
      </c:barChart>
      <c:catAx>
        <c:axId val="1680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0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02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 CO2/jaar</a:t>
                </a:r>
              </a:p>
            </c:rich>
          </c:tx>
          <c:layout>
            <c:manualLayout>
              <c:xMode val="edge"/>
              <c:yMode val="edge"/>
              <c:x val="2.594735536446249E-2"/>
              <c:y val="0.463895007855491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003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68574580473869"/>
          <c:y val="0.37196518906647213"/>
          <c:w val="0.21948720584618797"/>
          <c:h val="0.376271186440677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6" workbookViewId="0" zoomToFit="1"/>
  </sheetViews>
  <sheetProtection algorithmName="SHA-512" hashValue="21vubVslDNQ3uCyK/cjdwuHzghlndo/9M1AYYlvABCWrHHt0WjxYQQbfumWFggHAss3/s0Ln8RoMzC99e0Sv5Q==" saltValue="dCJFUoVuDZIjlZ25uCpY6g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51435</xdr:rowOff>
    </xdr:from>
    <xdr:to>
      <xdr:col>8</xdr:col>
      <xdr:colOff>396240</xdr:colOff>
      <xdr:row>36</xdr:row>
      <xdr:rowOff>7620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tabSelected="1" zoomScaleNormal="100" workbookViewId="0">
      <selection activeCell="A23" sqref="A23"/>
    </sheetView>
  </sheetViews>
  <sheetFormatPr defaultRowHeight="13.2" x14ac:dyDescent="0.25"/>
  <cols>
    <col min="1" max="1" width="168.33203125" bestFit="1" customWidth="1"/>
  </cols>
  <sheetData>
    <row r="1" spans="1:1" ht="15.6" x14ac:dyDescent="0.3">
      <c r="A1" s="6" t="s">
        <v>111</v>
      </c>
    </row>
    <row r="2" spans="1:1" ht="15.6" x14ac:dyDescent="0.3">
      <c r="A2" s="6"/>
    </row>
    <row r="3" spans="1:1" x14ac:dyDescent="0.25">
      <c r="A3" s="7" t="s">
        <v>161</v>
      </c>
    </row>
    <row r="4" spans="1:1" x14ac:dyDescent="0.25">
      <c r="A4" s="107" t="s">
        <v>160</v>
      </c>
    </row>
    <row r="5" spans="1:1" x14ac:dyDescent="0.25">
      <c r="A5" s="7"/>
    </row>
    <row r="6" spans="1:1" x14ac:dyDescent="0.25">
      <c r="A6" s="8" t="s">
        <v>112</v>
      </c>
    </row>
    <row r="7" spans="1:1" x14ac:dyDescent="0.25">
      <c r="A7" s="8" t="s">
        <v>77</v>
      </c>
    </row>
    <row r="8" spans="1:1" s="1" customFormat="1" x14ac:dyDescent="0.25">
      <c r="A8" s="86" t="s">
        <v>164</v>
      </c>
    </row>
    <row r="9" spans="1:1" s="1" customFormat="1" x14ac:dyDescent="0.25">
      <c r="A9" s="86" t="s">
        <v>165</v>
      </c>
    </row>
    <row r="10" spans="1:1" s="1" customFormat="1" x14ac:dyDescent="0.25">
      <c r="A10" s="86"/>
    </row>
    <row r="11" spans="1:1" x14ac:dyDescent="0.25">
      <c r="A11" s="8" t="s">
        <v>162</v>
      </c>
    </row>
    <row r="12" spans="1:1" x14ac:dyDescent="0.25">
      <c r="A12" s="8" t="s">
        <v>163</v>
      </c>
    </row>
    <row r="13" spans="1:1" x14ac:dyDescent="0.25">
      <c r="A13" s="87" t="s">
        <v>217</v>
      </c>
    </row>
    <row r="14" spans="1:1" x14ac:dyDescent="0.25">
      <c r="A14" s="87" t="s">
        <v>198</v>
      </c>
    </row>
    <row r="15" spans="1:1" x14ac:dyDescent="0.25">
      <c r="A15" s="87" t="s">
        <v>199</v>
      </c>
    </row>
    <row r="16" spans="1:1" x14ac:dyDescent="0.25">
      <c r="A16" s="87" t="s">
        <v>166</v>
      </c>
    </row>
    <row r="17" spans="1:1" x14ac:dyDescent="0.25">
      <c r="A17" s="87" t="s">
        <v>167</v>
      </c>
    </row>
    <row r="18" spans="1:1" x14ac:dyDescent="0.25">
      <c r="A18" s="87"/>
    </row>
    <row r="19" spans="1:1" x14ac:dyDescent="0.25">
      <c r="A19" s="87" t="s">
        <v>223</v>
      </c>
    </row>
    <row r="20" spans="1:1" s="89" customFormat="1" x14ac:dyDescent="0.25">
      <c r="A20" s="86" t="s">
        <v>218</v>
      </c>
    </row>
    <row r="21" spans="1:1" x14ac:dyDescent="0.25">
      <c r="A21" s="87"/>
    </row>
    <row r="22" spans="1:1" x14ac:dyDescent="0.25">
      <c r="A22" s="87" t="s">
        <v>190</v>
      </c>
    </row>
    <row r="23" spans="1:1" x14ac:dyDescent="0.25">
      <c r="A23" s="82" t="s">
        <v>201</v>
      </c>
    </row>
    <row r="24" spans="1:1" x14ac:dyDescent="0.25">
      <c r="A24" s="8"/>
    </row>
    <row r="25" spans="1:1" s="1" customFormat="1" x14ac:dyDescent="0.25">
      <c r="A25" s="87" t="s">
        <v>169</v>
      </c>
    </row>
    <row r="26" spans="1:1" x14ac:dyDescent="0.25">
      <c r="A26" s="87" t="s">
        <v>200</v>
      </c>
    </row>
    <row r="27" spans="1:1" x14ac:dyDescent="0.25">
      <c r="A27" s="87" t="s">
        <v>168</v>
      </c>
    </row>
    <row r="28" spans="1:1" x14ac:dyDescent="0.25">
      <c r="A28" s="8"/>
    </row>
    <row r="29" spans="1:1" x14ac:dyDescent="0.25">
      <c r="A29" s="8" t="s">
        <v>159</v>
      </c>
    </row>
    <row r="30" spans="1:1" x14ac:dyDescent="0.25">
      <c r="A30" s="8"/>
    </row>
    <row r="31" spans="1:1" x14ac:dyDescent="0.25">
      <c r="A31" s="87" t="s">
        <v>224</v>
      </c>
    </row>
    <row r="32" spans="1:1" x14ac:dyDescent="0.25">
      <c r="A32" s="87" t="s">
        <v>222</v>
      </c>
    </row>
    <row r="33" spans="1:1" x14ac:dyDescent="0.25">
      <c r="A33" s="8" t="s">
        <v>148</v>
      </c>
    </row>
  </sheetData>
  <sheetProtection algorithmName="SHA-512" hashValue="xj/Y5RCSVAooZpjS5WuK8lD9tk5Ejvcv5cMkP3mB0H9f2yE8LC3qGqqIirhv1HgfmZZ+kEsrznkVtz2MPIEBUQ==" saltValue="cD8um8y6ZC4EK3/0qU+aWw==" spinCount="100000" sheet="1" objects="1" scenario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5"/>
  <sheetViews>
    <sheetView zoomScale="90" zoomScaleNormal="90" workbookViewId="0">
      <pane ySplit="6" topLeftCell="A7" activePane="bottomLeft" state="frozenSplit"/>
      <selection pane="bottomLeft" activeCell="B20" sqref="B20"/>
    </sheetView>
  </sheetViews>
  <sheetFormatPr defaultRowHeight="13.2" x14ac:dyDescent="0.25"/>
  <cols>
    <col min="1" max="1" width="1.109375" style="122" customWidth="1"/>
    <col min="2" max="2" width="57.44140625" style="167" customWidth="1"/>
    <col min="3" max="3" width="15.33203125" style="168" customWidth="1"/>
    <col min="4" max="4" width="9" style="168" customWidth="1"/>
    <col min="5" max="5" width="12.109375" style="170" customWidth="1"/>
    <col min="6" max="6" width="14.88671875" style="170" bestFit="1" customWidth="1"/>
    <col min="7" max="8" width="12.33203125" style="170" customWidth="1"/>
    <col min="9" max="9" width="14.44140625" style="170" bestFit="1" customWidth="1"/>
    <col min="10" max="10" width="76.33203125" style="126" customWidth="1"/>
  </cols>
  <sheetData>
    <row r="1" spans="2:13" ht="15.6" x14ac:dyDescent="0.3">
      <c r="B1" s="123" t="s">
        <v>214</v>
      </c>
      <c r="C1" s="124"/>
      <c r="D1" s="124"/>
      <c r="E1" s="125"/>
      <c r="F1" s="125"/>
      <c r="G1" s="125"/>
      <c r="H1" s="125"/>
      <c r="I1" s="125"/>
    </row>
    <row r="2" spans="2:13" ht="15.6" x14ac:dyDescent="0.3">
      <c r="B2" s="123"/>
      <c r="C2" s="124"/>
      <c r="D2" s="124"/>
      <c r="E2" s="125"/>
      <c r="F2" s="125"/>
      <c r="G2" s="125"/>
      <c r="H2" s="125"/>
      <c r="I2" s="125"/>
    </row>
    <row r="3" spans="2:13" ht="31.2" x14ac:dyDescent="0.3">
      <c r="B3" s="127" t="s">
        <v>23</v>
      </c>
      <c r="C3" s="128" t="s">
        <v>2</v>
      </c>
      <c r="D3" s="128"/>
      <c r="E3" s="129" t="s">
        <v>24</v>
      </c>
      <c r="F3" s="129" t="s">
        <v>24</v>
      </c>
      <c r="G3" s="129" t="s">
        <v>24</v>
      </c>
      <c r="H3" s="129" t="s">
        <v>24</v>
      </c>
      <c r="I3" s="129" t="s">
        <v>24</v>
      </c>
      <c r="J3" s="130" t="s">
        <v>106</v>
      </c>
    </row>
    <row r="4" spans="2:13" ht="15.6" x14ac:dyDescent="0.3">
      <c r="B4" s="131"/>
      <c r="C4" s="132"/>
      <c r="D4" s="132"/>
      <c r="E4" s="133"/>
      <c r="F4" s="133"/>
      <c r="G4" s="133"/>
      <c r="H4" s="133"/>
      <c r="I4" s="133"/>
      <c r="J4" s="134"/>
    </row>
    <row r="5" spans="2:13" x14ac:dyDescent="0.25">
      <c r="B5" s="135"/>
      <c r="C5" s="136"/>
      <c r="D5" s="136"/>
      <c r="E5" s="137" t="s">
        <v>115</v>
      </c>
      <c r="F5" s="137" t="s">
        <v>118</v>
      </c>
      <c r="G5" s="137" t="s">
        <v>119</v>
      </c>
      <c r="H5" s="137" t="s">
        <v>150</v>
      </c>
      <c r="I5" s="137" t="s">
        <v>156</v>
      </c>
      <c r="J5" s="138"/>
    </row>
    <row r="6" spans="2:13" ht="15.6" x14ac:dyDescent="0.3">
      <c r="B6" s="139" t="s">
        <v>138</v>
      </c>
      <c r="C6" s="140"/>
      <c r="D6" s="140"/>
      <c r="E6" s="141" t="s">
        <v>209</v>
      </c>
      <c r="F6" s="142" t="s">
        <v>157</v>
      </c>
      <c r="G6" s="142" t="s">
        <v>154</v>
      </c>
      <c r="H6" s="142" t="s">
        <v>153</v>
      </c>
      <c r="I6" s="74" t="s">
        <v>212</v>
      </c>
      <c r="J6" s="138"/>
    </row>
    <row r="7" spans="2:13" x14ac:dyDescent="0.25">
      <c r="B7" s="143"/>
      <c r="C7" s="140"/>
      <c r="D7" s="140"/>
      <c r="E7" s="142"/>
      <c r="F7" s="142"/>
      <c r="G7" s="142"/>
      <c r="H7" s="142"/>
      <c r="I7" s="144"/>
      <c r="J7" s="138"/>
      <c r="K7" s="2"/>
      <c r="L7" s="2"/>
    </row>
    <row r="8" spans="2:13" ht="15.6" x14ac:dyDescent="0.3">
      <c r="B8" s="139" t="s">
        <v>8</v>
      </c>
      <c r="C8" s="140"/>
      <c r="D8" s="140"/>
      <c r="E8" s="142"/>
      <c r="F8" s="142"/>
      <c r="G8" s="142"/>
      <c r="H8" s="142"/>
      <c r="I8" s="145"/>
      <c r="J8" s="138"/>
      <c r="K8" s="2"/>
      <c r="L8" s="2"/>
    </row>
    <row r="9" spans="2:13" x14ac:dyDescent="0.25">
      <c r="B9" s="146" t="s">
        <v>179</v>
      </c>
      <c r="C9" s="140" t="s">
        <v>7</v>
      </c>
      <c r="D9" s="140"/>
      <c r="E9" s="142">
        <f>21000*365</f>
        <v>7665000</v>
      </c>
      <c r="F9" s="142">
        <v>7665000</v>
      </c>
      <c r="G9" s="142">
        <v>7665000</v>
      </c>
      <c r="H9" s="142">
        <f t="shared" ref="H9:I9" si="0">21000*365</f>
        <v>7665000</v>
      </c>
      <c r="I9" s="141">
        <f t="shared" si="0"/>
        <v>7665000</v>
      </c>
      <c r="J9" s="147" t="s">
        <v>186</v>
      </c>
      <c r="K9" s="110"/>
      <c r="L9" s="3"/>
      <c r="M9" s="85"/>
    </row>
    <row r="10" spans="2:13" x14ac:dyDescent="0.25">
      <c r="B10" s="143" t="s">
        <v>99</v>
      </c>
      <c r="C10" s="140" t="s">
        <v>11</v>
      </c>
      <c r="D10" s="140"/>
      <c r="E10" s="142">
        <v>3831680.6098388191</v>
      </c>
      <c r="F10" s="142">
        <v>3831680.6098388191</v>
      </c>
      <c r="G10" s="142">
        <v>3831680.6098388191</v>
      </c>
      <c r="H10" s="142">
        <v>3831680.6098388191</v>
      </c>
      <c r="I10" s="141">
        <v>3831680.6098388191</v>
      </c>
      <c r="J10" s="147" t="s">
        <v>186</v>
      </c>
      <c r="K10" s="110"/>
      <c r="L10" s="3"/>
      <c r="M10" s="85"/>
    </row>
    <row r="11" spans="2:13" x14ac:dyDescent="0.25">
      <c r="B11" s="143" t="s">
        <v>101</v>
      </c>
      <c r="C11" s="140" t="s">
        <v>11</v>
      </c>
      <c r="D11" s="140"/>
      <c r="E11" s="142">
        <v>359588.4880002584</v>
      </c>
      <c r="F11" s="142">
        <v>359588.4880002584</v>
      </c>
      <c r="G11" s="142">
        <v>359588.4880002584</v>
      </c>
      <c r="H11" s="142">
        <v>359588.4880002584</v>
      </c>
      <c r="I11" s="141">
        <v>359588.4880002584</v>
      </c>
      <c r="J11" s="147" t="s">
        <v>186</v>
      </c>
      <c r="K11" s="110"/>
      <c r="L11" s="3"/>
      <c r="M11" s="85"/>
    </row>
    <row r="12" spans="2:13" x14ac:dyDescent="0.25">
      <c r="B12" s="143" t="s">
        <v>100</v>
      </c>
      <c r="C12" s="140" t="s">
        <v>11</v>
      </c>
      <c r="D12" s="140"/>
      <c r="E12" s="142">
        <v>52139.927000226111</v>
      </c>
      <c r="F12" s="142">
        <v>52139.927000226111</v>
      </c>
      <c r="G12" s="142">
        <v>52139.927000226111</v>
      </c>
      <c r="H12" s="142">
        <v>52139.927000226111</v>
      </c>
      <c r="I12" s="141">
        <v>52139.927000226111</v>
      </c>
      <c r="J12" s="147" t="s">
        <v>186</v>
      </c>
      <c r="K12" s="110"/>
      <c r="L12" s="3"/>
      <c r="M12" s="85"/>
    </row>
    <row r="13" spans="2:13" x14ac:dyDescent="0.25">
      <c r="B13" s="143" t="s">
        <v>1</v>
      </c>
      <c r="C13" s="140" t="s">
        <v>12</v>
      </c>
      <c r="D13" s="140"/>
      <c r="E13" s="142">
        <v>97225.36257631061</v>
      </c>
      <c r="F13" s="142">
        <v>97225.36257631061</v>
      </c>
      <c r="G13" s="142">
        <v>97225.36257631061</v>
      </c>
      <c r="H13" s="142">
        <v>97225.36257631061</v>
      </c>
      <c r="I13" s="141">
        <v>97225.36257631061</v>
      </c>
      <c r="J13" s="147" t="s">
        <v>186</v>
      </c>
      <c r="K13" s="110"/>
      <c r="L13" s="3"/>
      <c r="M13" s="85"/>
    </row>
    <row r="14" spans="2:13" x14ac:dyDescent="0.25">
      <c r="B14" s="143" t="s">
        <v>13</v>
      </c>
      <c r="C14" s="140" t="s">
        <v>12</v>
      </c>
      <c r="D14" s="140"/>
      <c r="E14" s="142">
        <f>((E10/365)+(4.57*E11/365))/150*1000</f>
        <v>100000</v>
      </c>
      <c r="F14" s="142">
        <v>100000</v>
      </c>
      <c r="G14" s="142">
        <v>100000</v>
      </c>
      <c r="H14" s="142">
        <f>((H10/365)+(4.57*H11/365))/150*1000</f>
        <v>100000</v>
      </c>
      <c r="I14" s="142">
        <f>((I10/365)+(4.57*I11/365))/150*1000</f>
        <v>100000</v>
      </c>
      <c r="J14" s="147" t="s">
        <v>186</v>
      </c>
      <c r="K14" s="110"/>
      <c r="L14" s="3"/>
      <c r="M14" s="85"/>
    </row>
    <row r="15" spans="2:13" x14ac:dyDescent="0.25">
      <c r="B15" s="146" t="s">
        <v>192</v>
      </c>
      <c r="C15" s="148" t="s">
        <v>191</v>
      </c>
      <c r="D15" s="140"/>
      <c r="E15" s="142">
        <v>11</v>
      </c>
      <c r="F15" s="142">
        <v>11</v>
      </c>
      <c r="G15" s="142">
        <v>11</v>
      </c>
      <c r="H15" s="142">
        <v>11</v>
      </c>
      <c r="I15" s="142">
        <v>11</v>
      </c>
      <c r="J15" s="147" t="s">
        <v>186</v>
      </c>
      <c r="K15" s="110"/>
      <c r="L15" s="3"/>
      <c r="M15" s="85"/>
    </row>
    <row r="16" spans="2:13" x14ac:dyDescent="0.25">
      <c r="B16" s="143"/>
      <c r="C16" s="140"/>
      <c r="D16" s="140"/>
      <c r="E16" s="142"/>
      <c r="F16" s="142"/>
      <c r="G16" s="142"/>
      <c r="H16" s="142"/>
      <c r="I16" s="142"/>
      <c r="J16" s="138"/>
      <c r="K16" s="2"/>
      <c r="L16" s="3"/>
      <c r="M16" s="85"/>
    </row>
    <row r="17" spans="1:13" s="1" customFormat="1" x14ac:dyDescent="0.25">
      <c r="A17" s="149"/>
      <c r="B17" s="150" t="s">
        <v>181</v>
      </c>
      <c r="C17" s="151"/>
      <c r="D17" s="151"/>
      <c r="E17" s="142"/>
      <c r="F17" s="142"/>
      <c r="G17" s="142"/>
      <c r="H17" s="142"/>
      <c r="I17" s="152"/>
      <c r="J17" s="153"/>
      <c r="K17" s="108"/>
      <c r="L17" s="112"/>
      <c r="M17" s="101"/>
    </row>
    <row r="18" spans="1:13" s="88" customFormat="1" x14ac:dyDescent="0.25">
      <c r="A18" s="154"/>
      <c r="B18" s="146" t="s">
        <v>182</v>
      </c>
      <c r="C18" s="148" t="s">
        <v>183</v>
      </c>
      <c r="D18" s="148"/>
      <c r="E18" s="142">
        <f>0.7*E9</f>
        <v>5365500</v>
      </c>
      <c r="F18" s="142">
        <v>5365500</v>
      </c>
      <c r="G18" s="142">
        <v>5365500</v>
      </c>
      <c r="H18" s="142">
        <f t="shared" ref="H18:I18" si="1">0.7*H9</f>
        <v>5365500</v>
      </c>
      <c r="I18" s="141">
        <f t="shared" si="1"/>
        <v>5365500</v>
      </c>
      <c r="J18" s="147"/>
      <c r="K18" s="109"/>
      <c r="L18" s="113"/>
      <c r="M18" s="114"/>
    </row>
    <row r="19" spans="1:13" s="88" customFormat="1" x14ac:dyDescent="0.25">
      <c r="A19" s="154"/>
      <c r="B19" s="146" t="s">
        <v>184</v>
      </c>
      <c r="C19" s="148" t="s">
        <v>183</v>
      </c>
      <c r="D19" s="148"/>
      <c r="E19" s="142">
        <f>E18</f>
        <v>5365500</v>
      </c>
      <c r="F19" s="142">
        <v>7665000</v>
      </c>
      <c r="G19" s="142">
        <v>5365500</v>
      </c>
      <c r="H19" s="142">
        <f t="shared" ref="H19" si="2">H18</f>
        <v>5365500</v>
      </c>
      <c r="I19" s="9">
        <f>0.7*I9</f>
        <v>5365500</v>
      </c>
      <c r="J19" s="147" t="s">
        <v>185</v>
      </c>
      <c r="K19" s="109"/>
      <c r="L19" s="113"/>
      <c r="M19" s="114"/>
    </row>
    <row r="20" spans="1:13" s="88" customFormat="1" x14ac:dyDescent="0.25">
      <c r="A20" s="154"/>
      <c r="B20" s="146"/>
      <c r="C20" s="148"/>
      <c r="D20" s="148"/>
      <c r="E20" s="142"/>
      <c r="F20" s="142"/>
      <c r="G20" s="142"/>
      <c r="H20" s="142"/>
      <c r="I20" s="142"/>
      <c r="J20" s="147"/>
      <c r="K20" s="109"/>
      <c r="L20" s="113"/>
      <c r="M20" s="114"/>
    </row>
    <row r="21" spans="1:13" ht="13.5" customHeight="1" x14ac:dyDescent="0.25">
      <c r="B21" s="146" t="s">
        <v>180</v>
      </c>
      <c r="C21" s="140" t="s">
        <v>14</v>
      </c>
      <c r="D21" s="140"/>
      <c r="E21" s="142">
        <v>6100</v>
      </c>
      <c r="F21" s="142">
        <f>E21+(15/1000000*F19*0.8)</f>
        <v>6191.98</v>
      </c>
      <c r="G21" s="142">
        <f>E21</f>
        <v>6100</v>
      </c>
      <c r="H21" s="142">
        <f>E21</f>
        <v>6100</v>
      </c>
      <c r="I21" s="9">
        <f>E21</f>
        <v>6100</v>
      </c>
      <c r="J21" s="147" t="s">
        <v>195</v>
      </c>
      <c r="K21" s="2"/>
      <c r="L21" s="3"/>
      <c r="M21" s="85"/>
    </row>
    <row r="22" spans="1:13" x14ac:dyDescent="0.25">
      <c r="B22" s="143" t="s">
        <v>103</v>
      </c>
      <c r="C22" s="140" t="s">
        <v>9</v>
      </c>
      <c r="D22" s="140"/>
      <c r="E22" s="155">
        <v>0.21099999999999999</v>
      </c>
      <c r="F22" s="155">
        <v>0.22289999999999999</v>
      </c>
      <c r="G22" s="155">
        <v>0.21099999999999999</v>
      </c>
      <c r="H22" s="155">
        <f>E22</f>
        <v>0.21099999999999999</v>
      </c>
      <c r="I22" s="117">
        <f>E22</f>
        <v>0.21099999999999999</v>
      </c>
      <c r="J22" s="147" t="s">
        <v>195</v>
      </c>
      <c r="K22" s="2"/>
      <c r="L22" s="3"/>
      <c r="M22" s="85"/>
    </row>
    <row r="23" spans="1:13" x14ac:dyDescent="0.25">
      <c r="B23" s="146" t="s">
        <v>180</v>
      </c>
      <c r="C23" s="140" t="s">
        <v>114</v>
      </c>
      <c r="D23" s="140"/>
      <c r="E23" s="142">
        <f>E21*E22</f>
        <v>1287.0999999999999</v>
      </c>
      <c r="F23" s="142">
        <f>F21*F22</f>
        <v>1380.1923419999998</v>
      </c>
      <c r="G23" s="142">
        <f>G21*G22</f>
        <v>1287.0999999999999</v>
      </c>
      <c r="H23" s="142">
        <f t="shared" ref="H23:I23" si="3">H21*H22</f>
        <v>1287.0999999999999</v>
      </c>
      <c r="I23" s="142">
        <f t="shared" si="3"/>
        <v>1287.0999999999999</v>
      </c>
      <c r="J23" s="138"/>
      <c r="K23" s="111"/>
      <c r="L23" s="115"/>
      <c r="M23" s="85"/>
    </row>
    <row r="24" spans="1:13" x14ac:dyDescent="0.25">
      <c r="B24" s="143"/>
      <c r="C24" s="140"/>
      <c r="D24" s="140"/>
      <c r="E24" s="142"/>
      <c r="F24" s="142"/>
      <c r="G24" s="142"/>
      <c r="H24" s="142"/>
      <c r="I24" s="142"/>
      <c r="J24" s="138"/>
      <c r="K24" s="2"/>
      <c r="L24" s="3"/>
      <c r="M24" s="85"/>
    </row>
    <row r="25" spans="1:13" x14ac:dyDescent="0.25">
      <c r="B25" s="143" t="s">
        <v>134</v>
      </c>
      <c r="C25" s="140" t="s">
        <v>136</v>
      </c>
      <c r="D25" s="140"/>
      <c r="E25" s="142">
        <v>50</v>
      </c>
      <c r="F25" s="142">
        <v>50</v>
      </c>
      <c r="G25" s="142">
        <v>50</v>
      </c>
      <c r="H25" s="142">
        <v>50</v>
      </c>
      <c r="I25" s="141">
        <v>50</v>
      </c>
      <c r="J25" s="147" t="s">
        <v>186</v>
      </c>
      <c r="L25" s="85"/>
      <c r="M25" s="85"/>
    </row>
    <row r="26" spans="1:13" x14ac:dyDescent="0.25">
      <c r="B26" s="143" t="s">
        <v>134</v>
      </c>
      <c r="C26" s="140" t="s">
        <v>31</v>
      </c>
      <c r="D26" s="140"/>
      <c r="E26" s="142">
        <v>0</v>
      </c>
      <c r="F26" s="142">
        <v>0</v>
      </c>
      <c r="G26" s="142">
        <v>0</v>
      </c>
      <c r="H26" s="142">
        <v>0</v>
      </c>
      <c r="I26" s="141">
        <v>0</v>
      </c>
      <c r="J26" s="147" t="s">
        <v>186</v>
      </c>
      <c r="L26" s="85"/>
      <c r="M26" s="85"/>
    </row>
    <row r="27" spans="1:13" x14ac:dyDescent="0.25">
      <c r="B27" s="143" t="s">
        <v>135</v>
      </c>
      <c r="C27" s="140" t="s">
        <v>136</v>
      </c>
      <c r="D27" s="140"/>
      <c r="E27" s="142">
        <v>100</v>
      </c>
      <c r="F27" s="142">
        <v>100</v>
      </c>
      <c r="G27" s="142">
        <v>100</v>
      </c>
      <c r="H27" s="142">
        <v>100</v>
      </c>
      <c r="I27" s="141">
        <v>100</v>
      </c>
      <c r="J27" s="147" t="s">
        <v>186</v>
      </c>
      <c r="L27" s="85"/>
      <c r="M27" s="85"/>
    </row>
    <row r="28" spans="1:13" x14ac:dyDescent="0.25">
      <c r="B28" s="143" t="s">
        <v>135</v>
      </c>
      <c r="C28" s="140" t="s">
        <v>31</v>
      </c>
      <c r="D28" s="140"/>
      <c r="E28" s="142">
        <f>E21</f>
        <v>6100</v>
      </c>
      <c r="F28" s="142">
        <f t="shared" ref="F28:I28" si="4">F21</f>
        <v>6191.98</v>
      </c>
      <c r="G28" s="142">
        <f t="shared" si="4"/>
        <v>6100</v>
      </c>
      <c r="H28" s="142">
        <f t="shared" si="4"/>
        <v>6100</v>
      </c>
      <c r="I28" s="142">
        <f t="shared" si="4"/>
        <v>6100</v>
      </c>
      <c r="J28" s="147" t="s">
        <v>186</v>
      </c>
      <c r="L28" s="85"/>
      <c r="M28" s="85"/>
    </row>
    <row r="29" spans="1:13" x14ac:dyDescent="0.25">
      <c r="B29" s="143"/>
      <c r="C29" s="140"/>
      <c r="D29" s="140"/>
      <c r="E29" s="142"/>
      <c r="F29" s="142"/>
      <c r="G29" s="142"/>
      <c r="H29" s="142"/>
      <c r="I29" s="142"/>
      <c r="J29" s="138"/>
      <c r="L29" s="116"/>
      <c r="M29" s="85"/>
    </row>
    <row r="30" spans="1:13" ht="15.6" x14ac:dyDescent="0.3">
      <c r="B30" s="139" t="s">
        <v>170</v>
      </c>
      <c r="C30" s="140"/>
      <c r="D30" s="140"/>
      <c r="E30" s="142"/>
      <c r="F30" s="142"/>
      <c r="G30" s="142"/>
      <c r="H30" s="142"/>
      <c r="I30" s="142"/>
      <c r="J30" s="138"/>
      <c r="L30" s="85"/>
      <c r="M30" s="85"/>
    </row>
    <row r="31" spans="1:13" x14ac:dyDescent="0.25">
      <c r="B31" s="156" t="s">
        <v>15</v>
      </c>
      <c r="C31" s="140"/>
      <c r="D31" s="140"/>
      <c r="E31" s="142"/>
      <c r="F31" s="142"/>
      <c r="G31" s="142"/>
      <c r="H31" s="142"/>
      <c r="I31" s="142"/>
      <c r="J31" s="138"/>
      <c r="L31" s="85"/>
      <c r="M31" s="85"/>
    </row>
    <row r="32" spans="1:13" x14ac:dyDescent="0.25">
      <c r="B32" s="157" t="s">
        <v>142</v>
      </c>
      <c r="C32" s="158" t="s">
        <v>3</v>
      </c>
      <c r="D32" s="158"/>
      <c r="E32" s="142">
        <v>1193548.3870967741</v>
      </c>
      <c r="F32" s="142">
        <v>1193548.3870967741</v>
      </c>
      <c r="G32" s="142">
        <v>1193548.3870967741</v>
      </c>
      <c r="H32" s="142">
        <v>1193548.3870967741</v>
      </c>
      <c r="I32" s="141">
        <v>1193548.3870967741</v>
      </c>
      <c r="J32" s="147" t="s">
        <v>186</v>
      </c>
      <c r="L32" s="85"/>
      <c r="M32" s="85"/>
    </row>
    <row r="33" spans="1:13" x14ac:dyDescent="0.25">
      <c r="B33" s="157" t="s">
        <v>4</v>
      </c>
      <c r="C33" s="158" t="s">
        <v>5</v>
      </c>
      <c r="D33" s="158"/>
      <c r="E33" s="142">
        <v>3710</v>
      </c>
      <c r="F33" s="142">
        <v>3710</v>
      </c>
      <c r="G33" s="142">
        <v>3710</v>
      </c>
      <c r="H33" s="142">
        <v>3710</v>
      </c>
      <c r="I33" s="141">
        <v>3710</v>
      </c>
      <c r="J33" s="147" t="s">
        <v>186</v>
      </c>
      <c r="L33" s="85"/>
      <c r="M33" s="85"/>
    </row>
    <row r="34" spans="1:13" x14ac:dyDescent="0.25">
      <c r="B34" s="157" t="s">
        <v>6</v>
      </c>
      <c r="C34" s="158" t="s">
        <v>10</v>
      </c>
      <c r="D34" s="158"/>
      <c r="E34" s="142"/>
      <c r="F34" s="142"/>
      <c r="G34" s="142"/>
      <c r="H34" s="142"/>
      <c r="I34" s="141"/>
      <c r="J34" s="147" t="s">
        <v>186</v>
      </c>
      <c r="L34" s="85"/>
      <c r="M34" s="85"/>
    </row>
    <row r="35" spans="1:13" x14ac:dyDescent="0.25">
      <c r="B35" s="156" t="s">
        <v>16</v>
      </c>
      <c r="C35" s="158"/>
      <c r="D35" s="158"/>
      <c r="E35" s="142"/>
      <c r="F35" s="142"/>
      <c r="G35" s="142"/>
      <c r="H35" s="142"/>
      <c r="I35" s="141"/>
      <c r="J35" s="147"/>
      <c r="L35" s="85"/>
      <c r="M35" s="85"/>
    </row>
    <row r="36" spans="1:13" x14ac:dyDescent="0.25">
      <c r="B36" s="157" t="s">
        <v>78</v>
      </c>
      <c r="C36" s="158" t="s">
        <v>11</v>
      </c>
      <c r="D36" s="158"/>
      <c r="E36" s="142">
        <v>16000</v>
      </c>
      <c r="F36" s="142">
        <v>16000</v>
      </c>
      <c r="G36" s="142">
        <v>16000</v>
      </c>
      <c r="H36" s="142">
        <v>16000</v>
      </c>
      <c r="I36" s="141">
        <v>16000</v>
      </c>
      <c r="J36" s="147" t="s">
        <v>186</v>
      </c>
      <c r="L36" s="85"/>
      <c r="M36" s="85"/>
    </row>
    <row r="37" spans="1:13" x14ac:dyDescent="0.25">
      <c r="B37" s="157"/>
      <c r="C37" s="158"/>
      <c r="D37" s="158"/>
      <c r="E37" s="142"/>
      <c r="F37" s="142"/>
      <c r="G37" s="142"/>
      <c r="H37" s="142"/>
      <c r="I37" s="141"/>
      <c r="J37" s="147"/>
      <c r="L37" s="85"/>
      <c r="M37" s="85"/>
    </row>
    <row r="38" spans="1:13" ht="15.6" x14ac:dyDescent="0.3">
      <c r="B38" s="139" t="s">
        <v>187</v>
      </c>
      <c r="C38" s="140"/>
      <c r="D38" s="140"/>
      <c r="E38" s="142"/>
      <c r="F38" s="142"/>
      <c r="G38" s="142"/>
      <c r="H38" s="142"/>
      <c r="I38" s="142"/>
      <c r="J38" s="147"/>
    </row>
    <row r="39" spans="1:13" x14ac:dyDescent="0.25">
      <c r="B39" s="156" t="s">
        <v>15</v>
      </c>
      <c r="C39" s="140"/>
      <c r="D39" s="140"/>
      <c r="E39" s="142"/>
      <c r="F39" s="142"/>
      <c r="G39" s="142"/>
      <c r="H39" s="142"/>
      <c r="I39" s="142"/>
      <c r="J39" s="147"/>
      <c r="K39" s="3"/>
    </row>
    <row r="40" spans="1:13" x14ac:dyDescent="0.25">
      <c r="B40" s="157" t="s">
        <v>142</v>
      </c>
      <c r="C40" s="158" t="s">
        <v>3</v>
      </c>
      <c r="D40" s="158"/>
      <c r="E40" s="142">
        <v>0</v>
      </c>
      <c r="F40" s="141">
        <f>113880*0.8</f>
        <v>91104</v>
      </c>
      <c r="G40" s="142">
        <f>45/1000*G19+0.7*G19*G15*10/1000</f>
        <v>654591</v>
      </c>
      <c r="H40" s="142">
        <f>8760*0.5</f>
        <v>4380</v>
      </c>
      <c r="I40" s="173"/>
      <c r="J40" s="147" t="s">
        <v>196</v>
      </c>
      <c r="K40" s="3"/>
    </row>
    <row r="41" spans="1:13" x14ac:dyDescent="0.25">
      <c r="B41" s="157"/>
      <c r="C41" s="159"/>
      <c r="D41" s="158"/>
      <c r="E41" s="142"/>
      <c r="F41" s="142"/>
      <c r="G41" s="220"/>
      <c r="H41" s="142"/>
      <c r="I41" s="142"/>
      <c r="J41" s="147"/>
      <c r="K41" s="3"/>
    </row>
    <row r="42" spans="1:13" s="1" customFormat="1" ht="15.6" x14ac:dyDescent="0.3">
      <c r="A42" s="149"/>
      <c r="B42" s="139" t="s">
        <v>174</v>
      </c>
      <c r="C42" s="160"/>
      <c r="D42" s="161"/>
      <c r="E42" s="142"/>
      <c r="F42" s="142"/>
      <c r="G42" s="142"/>
      <c r="H42" s="142"/>
      <c r="I42" s="152"/>
      <c r="J42" s="153"/>
    </row>
    <row r="43" spans="1:13" x14ac:dyDescent="0.25">
      <c r="B43" s="162" t="s">
        <v>175</v>
      </c>
      <c r="C43" s="163" t="s">
        <v>176</v>
      </c>
      <c r="D43" s="164"/>
      <c r="E43" s="142">
        <v>0</v>
      </c>
      <c r="F43" s="142">
        <v>0</v>
      </c>
      <c r="G43" s="142">
        <v>8</v>
      </c>
      <c r="H43" s="179">
        <v>8</v>
      </c>
      <c r="I43" s="183"/>
      <c r="J43" s="181" t="s">
        <v>189</v>
      </c>
    </row>
    <row r="44" spans="1:13" x14ac:dyDescent="0.25">
      <c r="B44" s="162" t="s">
        <v>188</v>
      </c>
      <c r="C44" s="163"/>
      <c r="D44" s="164"/>
      <c r="E44" s="165">
        <v>0</v>
      </c>
      <c r="F44" s="165">
        <v>0</v>
      </c>
      <c r="G44" s="165">
        <v>0.1</v>
      </c>
      <c r="H44" s="180">
        <v>0.1</v>
      </c>
      <c r="I44" s="185"/>
      <c r="J44" s="181" t="s">
        <v>219</v>
      </c>
    </row>
    <row r="45" spans="1:13" x14ac:dyDescent="0.25">
      <c r="B45" s="162" t="s">
        <v>177</v>
      </c>
      <c r="C45" s="163" t="s">
        <v>7</v>
      </c>
      <c r="D45" s="164"/>
      <c r="E45" s="142">
        <f t="shared" ref="E45:F45" si="5">E44*E19</f>
        <v>0</v>
      </c>
      <c r="F45" s="142">
        <f t="shared" si="5"/>
        <v>0</v>
      </c>
      <c r="G45" s="142">
        <f>G44*G19</f>
        <v>536550</v>
      </c>
      <c r="H45" s="142">
        <f t="shared" ref="H45" si="6">H44*H19</f>
        <v>536550</v>
      </c>
      <c r="I45" s="141">
        <f t="shared" ref="I45" si="7">I44*I19</f>
        <v>0</v>
      </c>
      <c r="J45" s="138"/>
    </row>
    <row r="46" spans="1:13" x14ac:dyDescent="0.25">
      <c r="B46" s="162" t="s">
        <v>178</v>
      </c>
      <c r="C46" s="166" t="s">
        <v>7</v>
      </c>
      <c r="D46" s="164"/>
      <c r="E46" s="142">
        <f t="shared" ref="E46:I46" si="8">E45</f>
        <v>0</v>
      </c>
      <c r="F46" s="142">
        <f t="shared" si="8"/>
        <v>0</v>
      </c>
      <c r="G46" s="142">
        <f t="shared" si="8"/>
        <v>536550</v>
      </c>
      <c r="H46" s="142">
        <f t="shared" si="8"/>
        <v>536550</v>
      </c>
      <c r="I46" s="141">
        <f t="shared" si="8"/>
        <v>0</v>
      </c>
      <c r="J46" s="147"/>
    </row>
    <row r="47" spans="1:13" x14ac:dyDescent="0.25">
      <c r="B47" s="157"/>
      <c r="C47" s="159"/>
      <c r="D47" s="158"/>
      <c r="E47" s="142"/>
      <c r="F47" s="142"/>
      <c r="G47" s="142"/>
      <c r="H47" s="142"/>
      <c r="I47" s="142"/>
      <c r="J47" s="147"/>
      <c r="K47" s="3"/>
    </row>
    <row r="48" spans="1:13" ht="15.6" x14ac:dyDescent="0.3">
      <c r="B48" s="139" t="s">
        <v>172</v>
      </c>
      <c r="C48" s="163"/>
      <c r="D48" s="140" t="s">
        <v>120</v>
      </c>
      <c r="E48" s="142"/>
      <c r="F48" s="142"/>
      <c r="G48" s="142"/>
      <c r="H48" s="142"/>
      <c r="I48" s="142"/>
      <c r="J48" s="147"/>
      <c r="K48" s="3"/>
    </row>
    <row r="49" spans="2:10" x14ac:dyDescent="0.25">
      <c r="B49" s="162" t="s">
        <v>149</v>
      </c>
      <c r="C49" s="163" t="s">
        <v>11</v>
      </c>
      <c r="D49" s="164">
        <v>1</v>
      </c>
      <c r="E49" s="142"/>
      <c r="F49" s="142">
        <f>15/1000*F19*0.8</f>
        <v>91980</v>
      </c>
      <c r="G49" s="142"/>
      <c r="H49" s="142">
        <f>1040*30/60*0.4*0.4*1000</f>
        <v>83200</v>
      </c>
      <c r="I49" s="182"/>
      <c r="J49" s="147" t="s">
        <v>158</v>
      </c>
    </row>
    <row r="50" spans="2:10" x14ac:dyDescent="0.25">
      <c r="B50" s="162" t="s">
        <v>155</v>
      </c>
      <c r="C50" s="163" t="s">
        <v>11</v>
      </c>
      <c r="D50" s="164">
        <v>1</v>
      </c>
      <c r="E50" s="142"/>
      <c r="F50" s="142"/>
      <c r="G50" s="142"/>
      <c r="H50" s="142">
        <f>1040*30/60*0.4*1000*1.5</f>
        <v>312000</v>
      </c>
      <c r="I50" s="182"/>
      <c r="J50" s="147" t="s">
        <v>158</v>
      </c>
    </row>
    <row r="51" spans="2:10" x14ac:dyDescent="0.25">
      <c r="B51" s="146" t="s">
        <v>210</v>
      </c>
      <c r="C51" s="163" t="s">
        <v>11</v>
      </c>
      <c r="D51" s="164">
        <v>1</v>
      </c>
      <c r="E51" s="142"/>
      <c r="F51" s="142"/>
      <c r="G51" s="142"/>
      <c r="H51" s="142"/>
      <c r="I51" s="182"/>
      <c r="J51" s="147" t="s">
        <v>220</v>
      </c>
    </row>
    <row r="52" spans="2:10" x14ac:dyDescent="0.25">
      <c r="B52" s="162" t="s">
        <v>79</v>
      </c>
      <c r="C52" s="163" t="s">
        <v>11</v>
      </c>
      <c r="D52" s="164">
        <v>0.4</v>
      </c>
      <c r="E52" s="142"/>
      <c r="F52" s="142"/>
      <c r="G52" s="142"/>
      <c r="H52" s="142"/>
      <c r="I52" s="182"/>
      <c r="J52" s="147" t="s">
        <v>211</v>
      </c>
    </row>
    <row r="53" spans="2:10" x14ac:dyDescent="0.25">
      <c r="B53" s="162" t="s">
        <v>80</v>
      </c>
      <c r="C53" s="163" t="s">
        <v>11</v>
      </c>
      <c r="D53" s="164">
        <v>1</v>
      </c>
      <c r="E53" s="142"/>
      <c r="F53" s="142"/>
      <c r="G53" s="142"/>
      <c r="H53" s="142"/>
      <c r="I53" s="182"/>
      <c r="J53" s="147"/>
    </row>
    <row r="54" spans="2:10" x14ac:dyDescent="0.25">
      <c r="B54" s="162" t="s">
        <v>123</v>
      </c>
      <c r="C54" s="163" t="s">
        <v>11</v>
      </c>
      <c r="D54" s="164">
        <v>1</v>
      </c>
      <c r="E54" s="142"/>
      <c r="F54" s="142"/>
      <c r="G54" s="142"/>
      <c r="H54" s="142"/>
      <c r="I54" s="182"/>
      <c r="J54" s="138"/>
    </row>
    <row r="55" spans="2:10" x14ac:dyDescent="0.25">
      <c r="B55" s="162" t="s">
        <v>124</v>
      </c>
      <c r="C55" s="163" t="s">
        <v>11</v>
      </c>
      <c r="D55" s="164">
        <v>0.98</v>
      </c>
      <c r="E55" s="142"/>
      <c r="F55" s="142"/>
      <c r="G55" s="142"/>
      <c r="H55" s="142"/>
      <c r="I55" s="182"/>
      <c r="J55" s="138"/>
    </row>
    <row r="56" spans="2:10" x14ac:dyDescent="0.25">
      <c r="B56" s="162" t="s">
        <v>125</v>
      </c>
      <c r="C56" s="163" t="s">
        <v>11</v>
      </c>
      <c r="D56" s="164">
        <v>0.997</v>
      </c>
      <c r="E56" s="142"/>
      <c r="F56" s="142"/>
      <c r="G56" s="142"/>
      <c r="H56" s="142"/>
      <c r="I56" s="182"/>
      <c r="J56" s="138"/>
    </row>
    <row r="57" spans="2:10" x14ac:dyDescent="0.25">
      <c r="B57" s="162" t="s">
        <v>98</v>
      </c>
      <c r="C57" s="163" t="s">
        <v>11</v>
      </c>
      <c r="D57" s="164">
        <v>1</v>
      </c>
      <c r="E57" s="142"/>
      <c r="F57" s="142"/>
      <c r="G57" s="142"/>
      <c r="H57" s="142"/>
      <c r="I57" s="182"/>
      <c r="J57" s="138"/>
    </row>
    <row r="58" spans="2:10" x14ac:dyDescent="0.25">
      <c r="B58" s="146" t="s">
        <v>216</v>
      </c>
      <c r="C58" s="163" t="s">
        <v>11</v>
      </c>
      <c r="D58" s="164">
        <v>0.5</v>
      </c>
      <c r="E58" s="142"/>
      <c r="F58" s="142"/>
      <c r="G58" s="142"/>
      <c r="H58" s="142"/>
      <c r="I58" s="182"/>
      <c r="J58" s="138"/>
    </row>
    <row r="59" spans="2:10" x14ac:dyDescent="0.25">
      <c r="B59" s="162" t="s">
        <v>81</v>
      </c>
      <c r="C59" s="163" t="s">
        <v>11</v>
      </c>
      <c r="D59" s="164">
        <v>1</v>
      </c>
      <c r="E59" s="142"/>
      <c r="F59" s="142"/>
      <c r="G59" s="142"/>
      <c r="H59" s="142"/>
      <c r="I59" s="182"/>
      <c r="J59" s="138"/>
    </row>
    <row r="60" spans="2:10" x14ac:dyDescent="0.25">
      <c r="B60" s="162" t="s">
        <v>82</v>
      </c>
      <c r="C60" s="163" t="s">
        <v>11</v>
      </c>
      <c r="D60" s="164">
        <v>1</v>
      </c>
      <c r="E60" s="142"/>
      <c r="F60" s="142"/>
      <c r="G60" s="142"/>
      <c r="H60" s="142"/>
      <c r="I60" s="182"/>
      <c r="J60" s="138"/>
    </row>
    <row r="61" spans="2:10" x14ac:dyDescent="0.25">
      <c r="B61" s="162" t="s">
        <v>126</v>
      </c>
      <c r="C61" s="163" t="s">
        <v>11</v>
      </c>
      <c r="D61" s="164">
        <v>0.4</v>
      </c>
      <c r="E61" s="142">
        <v>260000</v>
      </c>
      <c r="F61" s="142">
        <v>260000</v>
      </c>
      <c r="G61" s="142">
        <v>260000</v>
      </c>
      <c r="H61" s="142">
        <f>E61</f>
        <v>260000</v>
      </c>
      <c r="I61" s="183">
        <f>E61</f>
        <v>260000</v>
      </c>
      <c r="J61" s="147"/>
    </row>
    <row r="62" spans="2:10" x14ac:dyDescent="0.25">
      <c r="B62" s="162" t="s">
        <v>83</v>
      </c>
      <c r="C62" s="163" t="s">
        <v>11</v>
      </c>
      <c r="D62" s="164">
        <v>1</v>
      </c>
      <c r="E62" s="142"/>
      <c r="F62" s="142"/>
      <c r="G62" s="142"/>
      <c r="H62" s="142"/>
      <c r="I62" s="183"/>
      <c r="J62" s="138"/>
    </row>
    <row r="63" spans="2:10" x14ac:dyDescent="0.25">
      <c r="B63" s="162" t="s">
        <v>84</v>
      </c>
      <c r="C63" s="163" t="s">
        <v>11</v>
      </c>
      <c r="D63" s="164">
        <v>1</v>
      </c>
      <c r="E63" s="142"/>
      <c r="F63" s="142"/>
      <c r="G63" s="142"/>
      <c r="H63" s="142"/>
      <c r="I63" s="183"/>
      <c r="J63" s="138"/>
    </row>
    <row r="64" spans="2:10" x14ac:dyDescent="0.25">
      <c r="B64" s="162" t="s">
        <v>19</v>
      </c>
      <c r="C64" s="163" t="s">
        <v>11</v>
      </c>
      <c r="D64" s="164">
        <v>1</v>
      </c>
      <c r="E64" s="142"/>
      <c r="F64" s="142"/>
      <c r="G64" s="142"/>
      <c r="H64" s="142"/>
      <c r="I64" s="183"/>
      <c r="J64" s="138"/>
    </row>
    <row r="65" spans="2:13" x14ac:dyDescent="0.25">
      <c r="B65" s="162" t="s">
        <v>85</v>
      </c>
      <c r="C65" s="163" t="s">
        <v>11</v>
      </c>
      <c r="D65" s="164">
        <v>1</v>
      </c>
      <c r="E65" s="142"/>
      <c r="F65" s="142"/>
      <c r="G65" s="142"/>
      <c r="H65" s="142"/>
      <c r="I65" s="183"/>
      <c r="J65" s="138"/>
    </row>
    <row r="66" spans="2:13" x14ac:dyDescent="0.25">
      <c r="B66" s="162" t="s">
        <v>86</v>
      </c>
      <c r="C66" s="163" t="s">
        <v>11</v>
      </c>
      <c r="D66" s="164">
        <v>1</v>
      </c>
      <c r="E66" s="142"/>
      <c r="F66" s="142"/>
      <c r="G66" s="142"/>
      <c r="H66" s="142"/>
      <c r="I66" s="183"/>
      <c r="J66" s="138"/>
    </row>
    <row r="67" spans="2:13" x14ac:dyDescent="0.25">
      <c r="B67" s="162" t="s">
        <v>127</v>
      </c>
      <c r="C67" s="163" t="s">
        <v>11</v>
      </c>
      <c r="D67" s="164">
        <v>0.54</v>
      </c>
      <c r="E67" s="142"/>
      <c r="F67" s="142"/>
      <c r="G67" s="142"/>
      <c r="H67" s="142"/>
      <c r="I67" s="183"/>
      <c r="J67" s="138"/>
    </row>
    <row r="68" spans="2:13" x14ac:dyDescent="0.25">
      <c r="B68" s="162" t="s">
        <v>87</v>
      </c>
      <c r="C68" s="163" t="s">
        <v>11</v>
      </c>
      <c r="D68" s="164">
        <v>1</v>
      </c>
      <c r="E68" s="142"/>
      <c r="F68" s="142"/>
      <c r="G68" s="142"/>
      <c r="H68" s="142"/>
      <c r="I68" s="183"/>
      <c r="J68" s="138"/>
    </row>
    <row r="69" spans="2:13" x14ac:dyDescent="0.25">
      <c r="B69" s="162" t="s">
        <v>88</v>
      </c>
      <c r="C69" s="163" t="s">
        <v>11</v>
      </c>
      <c r="D69" s="164">
        <v>1</v>
      </c>
      <c r="E69" s="142"/>
      <c r="F69" s="142"/>
      <c r="G69" s="142"/>
      <c r="H69" s="142"/>
      <c r="I69" s="183"/>
      <c r="J69" s="138"/>
    </row>
    <row r="70" spans="2:13" x14ac:dyDescent="0.25">
      <c r="B70" s="162" t="s">
        <v>89</v>
      </c>
      <c r="C70" s="163" t="s">
        <v>11</v>
      </c>
      <c r="D70" s="164">
        <v>1</v>
      </c>
      <c r="E70" s="142"/>
      <c r="F70" s="142"/>
      <c r="G70" s="142"/>
      <c r="H70" s="142"/>
      <c r="I70" s="183"/>
      <c r="J70" s="138"/>
    </row>
    <row r="71" spans="2:13" x14ac:dyDescent="0.25">
      <c r="B71" s="162" t="s">
        <v>90</v>
      </c>
      <c r="C71" s="163" t="s">
        <v>11</v>
      </c>
      <c r="D71" s="164">
        <v>1</v>
      </c>
      <c r="E71" s="142"/>
      <c r="F71" s="142"/>
      <c r="G71" s="142"/>
      <c r="H71" s="142"/>
      <c r="I71" s="183"/>
      <c r="J71" s="138"/>
    </row>
    <row r="72" spans="2:13" x14ac:dyDescent="0.25">
      <c r="B72" s="162" t="s">
        <v>17</v>
      </c>
      <c r="C72" s="163" t="s">
        <v>11</v>
      </c>
      <c r="D72" s="164">
        <v>1</v>
      </c>
      <c r="E72" s="142"/>
      <c r="F72" s="142"/>
      <c r="G72" s="142"/>
      <c r="H72" s="142"/>
      <c r="I72" s="183"/>
      <c r="J72" s="138"/>
    </row>
    <row r="73" spans="2:13" x14ac:dyDescent="0.25">
      <c r="B73" s="162" t="s">
        <v>128</v>
      </c>
      <c r="C73" s="163" t="s">
        <v>11</v>
      </c>
      <c r="D73" s="164">
        <v>0.38</v>
      </c>
      <c r="E73" s="142"/>
      <c r="F73" s="142"/>
      <c r="G73" s="142"/>
      <c r="H73" s="142"/>
      <c r="I73" s="183"/>
      <c r="J73" s="138"/>
    </row>
    <row r="74" spans="2:13" x14ac:dyDescent="0.25">
      <c r="B74" s="162" t="s">
        <v>91</v>
      </c>
      <c r="C74" s="163" t="s">
        <v>11</v>
      </c>
      <c r="D74" s="164">
        <v>1</v>
      </c>
      <c r="E74" s="142"/>
      <c r="F74" s="142"/>
      <c r="G74" s="142"/>
      <c r="H74" s="142"/>
      <c r="I74" s="183"/>
      <c r="J74" s="138"/>
    </row>
    <row r="75" spans="2:13" x14ac:dyDescent="0.25">
      <c r="B75" s="162" t="s">
        <v>129</v>
      </c>
      <c r="C75" s="163" t="s">
        <v>11</v>
      </c>
      <c r="D75" s="164">
        <v>0.15</v>
      </c>
      <c r="E75" s="142"/>
      <c r="F75" s="142"/>
      <c r="G75" s="142"/>
      <c r="H75" s="142"/>
      <c r="I75" s="183"/>
      <c r="J75" s="138"/>
    </row>
    <row r="76" spans="2:13" x14ac:dyDescent="0.25">
      <c r="B76" s="162" t="s">
        <v>130</v>
      </c>
      <c r="C76" s="163" t="s">
        <v>11</v>
      </c>
      <c r="D76" s="164">
        <v>0.5</v>
      </c>
      <c r="E76" s="142"/>
      <c r="F76" s="142"/>
      <c r="G76" s="142"/>
      <c r="H76" s="142"/>
      <c r="I76" s="183"/>
      <c r="J76" s="138"/>
    </row>
    <row r="77" spans="2:13" x14ac:dyDescent="0.25">
      <c r="B77" s="162" t="s">
        <v>131</v>
      </c>
      <c r="C77" s="163" t="s">
        <v>11</v>
      </c>
      <c r="D77" s="164">
        <v>0.5</v>
      </c>
      <c r="E77" s="142"/>
      <c r="F77" s="142"/>
      <c r="G77" s="142"/>
      <c r="H77" s="142"/>
      <c r="I77" s="183"/>
      <c r="J77" s="138"/>
    </row>
    <row r="78" spans="2:13" x14ac:dyDescent="0.25">
      <c r="B78" s="162" t="s">
        <v>132</v>
      </c>
      <c r="C78" s="163" t="s">
        <v>11</v>
      </c>
      <c r="D78" s="164">
        <v>0.5</v>
      </c>
      <c r="E78" s="142"/>
      <c r="F78" s="142"/>
      <c r="G78" s="142"/>
      <c r="H78" s="142"/>
      <c r="I78" s="183"/>
      <c r="J78" s="138"/>
    </row>
    <row r="79" spans="2:13" x14ac:dyDescent="0.25">
      <c r="B79" s="162" t="s">
        <v>144</v>
      </c>
      <c r="C79" s="163" t="s">
        <v>11</v>
      </c>
      <c r="D79" s="164">
        <v>1</v>
      </c>
      <c r="E79" s="142"/>
      <c r="F79" s="142"/>
      <c r="G79" s="142"/>
      <c r="H79" s="142"/>
      <c r="I79" s="183"/>
      <c r="J79" s="138"/>
    </row>
    <row r="80" spans="2:13" x14ac:dyDescent="0.25">
      <c r="B80" s="162" t="s">
        <v>145</v>
      </c>
      <c r="C80" s="163" t="s">
        <v>11</v>
      </c>
      <c r="D80" s="164">
        <v>1</v>
      </c>
      <c r="E80" s="142"/>
      <c r="F80" s="142"/>
      <c r="G80" s="142"/>
      <c r="H80" s="142"/>
      <c r="I80" s="183"/>
      <c r="J80" s="138"/>
      <c r="M80" s="118"/>
    </row>
    <row r="81" spans="2:11" x14ac:dyDescent="0.25">
      <c r="B81" s="162" t="s">
        <v>146</v>
      </c>
      <c r="C81" s="163" t="s">
        <v>11</v>
      </c>
      <c r="D81" s="164">
        <v>1</v>
      </c>
      <c r="E81" s="142"/>
      <c r="F81" s="142"/>
      <c r="G81" s="142"/>
      <c r="H81" s="142"/>
      <c r="I81" s="183"/>
      <c r="J81" s="138"/>
    </row>
    <row r="82" spans="2:11" x14ac:dyDescent="0.25">
      <c r="B82" s="162" t="s">
        <v>147</v>
      </c>
      <c r="C82" s="163" t="s">
        <v>11</v>
      </c>
      <c r="D82" s="164">
        <v>1</v>
      </c>
      <c r="E82" s="142">
        <f>18*E23</f>
        <v>23167.8</v>
      </c>
      <c r="F82" s="142">
        <f>16*F23</f>
        <v>22083.077471999997</v>
      </c>
      <c r="G82" s="142">
        <f t="shared" ref="G82:H82" si="9">18*G23</f>
        <v>23167.8</v>
      </c>
      <c r="H82" s="142">
        <f t="shared" si="9"/>
        <v>23167.8</v>
      </c>
      <c r="I82" s="184">
        <f>E82</f>
        <v>23167.8</v>
      </c>
      <c r="J82" s="138"/>
    </row>
    <row r="83" spans="2:11" x14ac:dyDescent="0.25">
      <c r="B83" s="162" t="s">
        <v>92</v>
      </c>
      <c r="C83" s="163" t="s">
        <v>11</v>
      </c>
      <c r="D83" s="164">
        <v>1</v>
      </c>
      <c r="E83" s="142">
        <v>3200</v>
      </c>
      <c r="F83" s="142">
        <v>3200</v>
      </c>
      <c r="G83" s="142">
        <v>3200</v>
      </c>
      <c r="H83" s="142">
        <v>3200</v>
      </c>
      <c r="I83" s="141">
        <f>+E83</f>
        <v>3200</v>
      </c>
      <c r="J83" s="147" t="s">
        <v>186</v>
      </c>
    </row>
    <row r="84" spans="2:11" x14ac:dyDescent="0.25">
      <c r="B84" s="162" t="s">
        <v>93</v>
      </c>
      <c r="C84" s="163" t="s">
        <v>11</v>
      </c>
      <c r="D84" s="164">
        <v>1</v>
      </c>
      <c r="E84" s="142"/>
      <c r="F84" s="142"/>
      <c r="G84" s="142"/>
      <c r="H84" s="142"/>
      <c r="I84" s="183"/>
      <c r="J84" s="138"/>
    </row>
    <row r="85" spans="2:11" x14ac:dyDescent="0.25">
      <c r="B85" s="146" t="s">
        <v>221</v>
      </c>
      <c r="C85" s="218" t="s">
        <v>11</v>
      </c>
      <c r="D85" s="164">
        <v>0.5</v>
      </c>
      <c r="E85" s="142"/>
      <c r="F85" s="142"/>
      <c r="G85" s="142"/>
      <c r="H85" s="142"/>
      <c r="I85" s="219"/>
      <c r="J85" s="138"/>
    </row>
    <row r="86" spans="2:11" x14ac:dyDescent="0.25">
      <c r="B86" s="162" t="s">
        <v>133</v>
      </c>
      <c r="C86" s="163" t="s">
        <v>11</v>
      </c>
      <c r="D86" s="164">
        <v>0.36</v>
      </c>
      <c r="E86" s="142"/>
      <c r="F86" s="142"/>
      <c r="G86" s="142"/>
      <c r="H86" s="142"/>
      <c r="I86" s="183"/>
      <c r="J86" s="138"/>
    </row>
    <row r="87" spans="2:11" x14ac:dyDescent="0.25">
      <c r="B87" s="162" t="s">
        <v>94</v>
      </c>
      <c r="C87" s="163" t="s">
        <v>11</v>
      </c>
      <c r="D87" s="164">
        <v>1</v>
      </c>
      <c r="E87" s="142"/>
      <c r="F87" s="142"/>
      <c r="G87" s="142"/>
      <c r="H87" s="142"/>
      <c r="I87" s="183"/>
      <c r="J87" s="138"/>
    </row>
    <row r="88" spans="2:11" x14ac:dyDescent="0.25">
      <c r="B88" s="162" t="s">
        <v>95</v>
      </c>
      <c r="C88" s="163" t="s">
        <v>11</v>
      </c>
      <c r="D88" s="164">
        <v>1</v>
      </c>
      <c r="E88" s="142"/>
      <c r="F88" s="142"/>
      <c r="G88" s="142"/>
      <c r="H88" s="142"/>
      <c r="I88" s="183"/>
      <c r="J88" s="138"/>
    </row>
    <row r="89" spans="2:11" x14ac:dyDescent="0.25">
      <c r="B89" s="162" t="s">
        <v>96</v>
      </c>
      <c r="C89" s="163" t="s">
        <v>11</v>
      </c>
      <c r="D89" s="164">
        <v>1</v>
      </c>
      <c r="E89" s="142"/>
      <c r="F89" s="142"/>
      <c r="G89" s="142">
        <f>0.7*10*G15*G19/1000+6*G19/1000</f>
        <v>445336.5</v>
      </c>
      <c r="H89" s="142"/>
      <c r="I89" s="183"/>
      <c r="J89" s="147"/>
    </row>
    <row r="90" spans="2:11" x14ac:dyDescent="0.25">
      <c r="B90" s="162" t="s">
        <v>97</v>
      </c>
      <c r="C90" s="163" t="s">
        <v>11</v>
      </c>
      <c r="D90" s="164">
        <v>1</v>
      </c>
      <c r="E90" s="142"/>
      <c r="F90" s="142"/>
      <c r="G90" s="142"/>
      <c r="H90" s="142"/>
      <c r="I90" s="183"/>
      <c r="J90" s="138"/>
    </row>
    <row r="91" spans="2:11" x14ac:dyDescent="0.25">
      <c r="B91" s="162"/>
      <c r="C91" s="163"/>
      <c r="D91" s="164"/>
      <c r="E91" s="142"/>
      <c r="F91" s="142"/>
      <c r="G91" s="142"/>
      <c r="H91" s="142"/>
      <c r="I91" s="142"/>
      <c r="J91" s="138"/>
    </row>
    <row r="92" spans="2:11" ht="15.6" x14ac:dyDescent="0.3">
      <c r="B92" s="139" t="s">
        <v>173</v>
      </c>
      <c r="C92" s="163"/>
      <c r="D92" s="140"/>
      <c r="E92" s="142"/>
      <c r="F92" s="142"/>
      <c r="G92" s="142"/>
      <c r="H92" s="142"/>
      <c r="I92" s="142"/>
      <c r="J92" s="147"/>
      <c r="K92" s="3"/>
    </row>
    <row r="93" spans="2:11" x14ac:dyDescent="0.25">
      <c r="B93" s="162" t="s">
        <v>102</v>
      </c>
      <c r="C93" s="163" t="s">
        <v>7</v>
      </c>
      <c r="D93" s="164"/>
      <c r="E93" s="142">
        <v>3800</v>
      </c>
      <c r="F93" s="142">
        <v>3805</v>
      </c>
      <c r="G93" s="142">
        <v>4050</v>
      </c>
      <c r="H93" s="142">
        <f>E93+230</f>
        <v>4030</v>
      </c>
      <c r="I93" s="183">
        <f>E93</f>
        <v>3800</v>
      </c>
      <c r="J93" s="138"/>
    </row>
    <row r="94" spans="2:11" x14ac:dyDescent="0.25">
      <c r="B94" s="162" t="s">
        <v>108</v>
      </c>
      <c r="C94" s="163" t="s">
        <v>109</v>
      </c>
      <c r="D94" s="164"/>
      <c r="E94" s="141">
        <v>30</v>
      </c>
      <c r="F94" s="141">
        <v>30</v>
      </c>
      <c r="G94" s="141">
        <v>30</v>
      </c>
      <c r="H94" s="141">
        <v>30</v>
      </c>
      <c r="I94" s="141">
        <v>30</v>
      </c>
      <c r="J94" s="147" t="s">
        <v>186</v>
      </c>
    </row>
    <row r="95" spans="2:11" x14ac:dyDescent="0.25">
      <c r="B95" s="174"/>
      <c r="C95" s="175"/>
      <c r="D95" s="176"/>
      <c r="E95" s="177"/>
      <c r="F95" s="177"/>
      <c r="G95" s="177"/>
      <c r="H95" s="177"/>
      <c r="I95" s="177"/>
      <c r="J95" s="178"/>
    </row>
    <row r="107" spans="4:6" x14ac:dyDescent="0.25">
      <c r="D107" s="169"/>
    </row>
    <row r="109" spans="4:6" x14ac:dyDescent="0.25">
      <c r="D109" s="169"/>
    </row>
    <row r="112" spans="4:6" x14ac:dyDescent="0.25">
      <c r="D112" s="169"/>
      <c r="F112" s="171"/>
    </row>
    <row r="115" spans="2:2" x14ac:dyDescent="0.25">
      <c r="B115" s="172"/>
    </row>
  </sheetData>
  <sheetProtection password="DA2B" sheet="1" objects="1" scenarios="1"/>
  <phoneticPr fontId="2" type="noConversion"/>
  <pageMargins left="0.75" right="0.75" top="1" bottom="1" header="0.5" footer="0.5"/>
  <pageSetup paperSize="9" scale="53" orientation="portrait" horizontalDpi="0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="70" zoomScaleNormal="70" workbookViewId="0">
      <selection activeCell="H4" sqref="H4"/>
    </sheetView>
  </sheetViews>
  <sheetFormatPr defaultRowHeight="13.2" x14ac:dyDescent="0.25"/>
  <cols>
    <col min="2" max="2" width="32.5546875" bestFit="1" customWidth="1"/>
    <col min="3" max="3" width="10" bestFit="1" customWidth="1"/>
    <col min="4" max="4" width="8.33203125" customWidth="1"/>
    <col min="5" max="5" width="17.33203125" customWidth="1"/>
    <col min="6" max="6" width="19.5546875" customWidth="1"/>
    <col min="7" max="7" width="16.6640625" customWidth="1"/>
    <col min="8" max="8" width="14.6640625" customWidth="1"/>
  </cols>
  <sheetData>
    <row r="1" spans="1:8" ht="15.6" x14ac:dyDescent="0.3">
      <c r="A1" s="188" t="s">
        <v>202</v>
      </c>
    </row>
    <row r="3" spans="1:8" x14ac:dyDescent="0.25">
      <c r="D3" s="120" t="s">
        <v>152</v>
      </c>
      <c r="E3" s="120" t="s">
        <v>157</v>
      </c>
      <c r="F3" s="120" t="s">
        <v>203</v>
      </c>
      <c r="G3" s="120" t="s">
        <v>153</v>
      </c>
      <c r="H3" s="121" t="str">
        <f>Invulblad!I6</f>
        <v>Naam invullen</v>
      </c>
    </row>
    <row r="4" spans="1:8" x14ac:dyDescent="0.25">
      <c r="B4" s="1" t="s">
        <v>205</v>
      </c>
      <c r="C4" s="1" t="s">
        <v>206</v>
      </c>
      <c r="D4" s="119">
        <f>'CO2 footprint tot berek'!F4</f>
        <v>1265.2768803640142</v>
      </c>
      <c r="E4" s="4">
        <f>'CO2 footprint tot berek'!I4</f>
        <v>2198.143460582141</v>
      </c>
      <c r="F4" s="4">
        <f>'CO2 footprint tot berek'!L4</f>
        <v>1952.9653246973476</v>
      </c>
      <c r="G4" s="4">
        <f>'CO2 footprint tot berek'!O4</f>
        <v>3008.7572558084589</v>
      </c>
      <c r="H4" s="4">
        <f>'CO2 footprint tot berek'!S4</f>
        <v>1265.2768803640142</v>
      </c>
    </row>
    <row r="5" spans="1:8" x14ac:dyDescent="0.25">
      <c r="B5" s="1" t="s">
        <v>207</v>
      </c>
      <c r="C5" s="1" t="s">
        <v>183</v>
      </c>
      <c r="D5">
        <v>0</v>
      </c>
      <c r="E5" s="34">
        <f>Invulblad!F19</f>
        <v>7665000</v>
      </c>
      <c r="F5" s="34">
        <f>Invulblad!G19</f>
        <v>5365500</v>
      </c>
      <c r="G5" s="34">
        <f>Invulblad!H19</f>
        <v>5365500</v>
      </c>
      <c r="H5" s="34">
        <f>Invulblad!I19</f>
        <v>5365500</v>
      </c>
    </row>
    <row r="6" spans="1:8" x14ac:dyDescent="0.25">
      <c r="B6" s="1" t="s">
        <v>208</v>
      </c>
      <c r="C6" s="1" t="s">
        <v>204</v>
      </c>
      <c r="E6" s="186">
        <f>(E4-$D$4)*1000000/E5</f>
        <v>121.70470713869886</v>
      </c>
      <c r="F6" s="186">
        <f t="shared" ref="F6:H6" si="0">(F4-$D$4)*1000000/F5</f>
        <v>128.16856664492281</v>
      </c>
      <c r="G6" s="186">
        <f t="shared" si="0"/>
        <v>324.94275937833282</v>
      </c>
      <c r="H6" s="187">
        <f t="shared" si="0"/>
        <v>0</v>
      </c>
    </row>
  </sheetData>
  <sheetProtection algorithmName="SHA-512" hashValue="JED/toaw7Ho79HuqbNOHGuBw+pyYsIZSGVCaHG613i4GfojOJnSDMACIElP60y9BhkccpJvYyjWOKSmVRjcLYA==" saltValue="5zC+XYh1lARz5b46fS4nl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89"/>
  <sheetViews>
    <sheetView topLeftCell="A34" zoomScaleNormal="100" workbookViewId="0">
      <selection activeCell="G55" sqref="G55"/>
    </sheetView>
  </sheetViews>
  <sheetFormatPr defaultRowHeight="13.2" x14ac:dyDescent="0.25"/>
  <cols>
    <col min="1" max="1" width="2.44140625" style="13" customWidth="1"/>
    <col min="2" max="2" width="52.5546875" style="12" customWidth="1"/>
    <col min="3" max="3" width="12.6640625" style="207" customWidth="1"/>
    <col min="4" max="4" width="11.5546875" style="13" customWidth="1"/>
    <col min="5" max="5" width="18.88671875" style="28" hidden="1" customWidth="1"/>
    <col min="6" max="6" width="12.33203125" style="203" bestFit="1" customWidth="1"/>
    <col min="7" max="7" width="5.88671875" style="65" bestFit="1" customWidth="1"/>
    <col min="8" max="8" width="16.6640625" style="66" hidden="1" customWidth="1"/>
    <col min="9" max="9" width="12.33203125" style="203" bestFit="1" customWidth="1"/>
    <col min="10" max="10" width="5.6640625" style="65" bestFit="1" customWidth="1"/>
    <col min="11" max="11" width="16.6640625" style="66" hidden="1" customWidth="1"/>
    <col min="12" max="12" width="12.33203125" style="191" bestFit="1" customWidth="1"/>
    <col min="13" max="13" width="5.6640625" bestFit="1" customWidth="1"/>
    <col min="14" max="14" width="16.6640625" style="66" hidden="1" customWidth="1"/>
    <col min="15" max="15" width="12.33203125" style="191" bestFit="1" customWidth="1"/>
    <col min="16" max="16" width="5.6640625" bestFit="1" customWidth="1"/>
    <col min="17" max="17" width="9.109375" hidden="1" customWidth="1"/>
    <col min="18" max="18" width="16.6640625" hidden="1" customWidth="1"/>
    <col min="19" max="19" width="14.33203125" style="206" bestFit="1" customWidth="1"/>
    <col min="20" max="20" width="5.6640625" bestFit="1" customWidth="1"/>
  </cols>
  <sheetData>
    <row r="1" spans="2:20" ht="15.6" x14ac:dyDescent="0.3">
      <c r="B1" s="11" t="s">
        <v>113</v>
      </c>
    </row>
    <row r="2" spans="2:20" x14ac:dyDescent="0.25">
      <c r="B2" s="14"/>
      <c r="C2" s="208"/>
      <c r="D2" s="79"/>
      <c r="E2" s="70"/>
      <c r="I2" s="205"/>
      <c r="L2" s="192"/>
      <c r="O2" s="192"/>
    </row>
    <row r="3" spans="2:20" x14ac:dyDescent="0.25">
      <c r="B3" s="69" t="s">
        <v>110</v>
      </c>
      <c r="C3" s="209"/>
      <c r="D3" s="78"/>
      <c r="E3" s="70"/>
      <c r="F3" s="193" t="s">
        <v>171</v>
      </c>
      <c r="G3" s="71"/>
      <c r="H3" s="72"/>
      <c r="I3" s="193" t="s">
        <v>171</v>
      </c>
      <c r="J3" s="71"/>
      <c r="K3" s="72"/>
      <c r="L3" s="193" t="s">
        <v>171</v>
      </c>
      <c r="M3" s="73"/>
      <c r="N3" s="72"/>
      <c r="O3" s="193" t="s">
        <v>171</v>
      </c>
      <c r="P3" s="73"/>
      <c r="R3" s="72"/>
      <c r="S3" s="193" t="s">
        <v>171</v>
      </c>
      <c r="T3" s="73"/>
    </row>
    <row r="4" spans="2:20" x14ac:dyDescent="0.25">
      <c r="B4" s="15" t="s">
        <v>0</v>
      </c>
      <c r="C4" s="210"/>
      <c r="D4" s="77"/>
      <c r="F4" s="194">
        <f>F12+F24+F68+F71+F20</f>
        <v>1265.2768803640142</v>
      </c>
      <c r="G4" s="67">
        <f>SUM(G5:G8)</f>
        <v>1</v>
      </c>
      <c r="I4" s="194">
        <f>I12+I24+I68+I71+I20</f>
        <v>2198.143460582141</v>
      </c>
      <c r="J4" s="67">
        <f>SUM(J5:J8)</f>
        <v>0.99999999999999989</v>
      </c>
      <c r="L4" s="194">
        <f>L12+L24+L68+L71+L20</f>
        <v>1952.9653246973476</v>
      </c>
      <c r="M4" s="16">
        <f>SUM(M5:M8)</f>
        <v>1</v>
      </c>
      <c r="O4" s="194">
        <f>O12+O24+O68+O71+O20</f>
        <v>3008.7572558084589</v>
      </c>
      <c r="P4" s="16">
        <f>SUM(P5:P8)</f>
        <v>0.99999999999999978</v>
      </c>
      <c r="R4" s="66"/>
      <c r="S4" s="194">
        <f>S12+S24+S68+S71+S20</f>
        <v>1265.2768803640142</v>
      </c>
      <c r="T4" s="16">
        <f>SUM(T5:T8)</f>
        <v>1</v>
      </c>
    </row>
    <row r="5" spans="2:20" x14ac:dyDescent="0.25">
      <c r="B5" s="17" t="s">
        <v>104</v>
      </c>
      <c r="C5" s="210"/>
      <c r="D5" s="77"/>
      <c r="F5" s="195">
        <f>F12+F20</f>
        <v>669.84170161290308</v>
      </c>
      <c r="G5" s="68">
        <f>F5/$F$4</f>
        <v>0.52940325711174996</v>
      </c>
      <c r="I5" s="195">
        <f>I12+I20</f>
        <v>717.76240561290308</v>
      </c>
      <c r="J5" s="68">
        <f>I5/$I$4</f>
        <v>0.32653119256502755</v>
      </c>
      <c r="L5" s="195">
        <f>L12+L20</f>
        <v>1169.3804826129031</v>
      </c>
      <c r="M5" s="18">
        <f>L5/$L$4</f>
        <v>0.59877175893746237</v>
      </c>
      <c r="O5" s="195">
        <f>O12+O20</f>
        <v>827.36949661290305</v>
      </c>
      <c r="P5" s="18">
        <f>O5/$O$4</f>
        <v>0.27498712134907249</v>
      </c>
      <c r="R5" s="66"/>
      <c r="S5" s="195">
        <f>S12+S20</f>
        <v>669.84170161290308</v>
      </c>
      <c r="T5" s="18">
        <f>S5/$S$4</f>
        <v>0.52940325711174996</v>
      </c>
    </row>
    <row r="6" spans="2:20" x14ac:dyDescent="0.25">
      <c r="B6" s="17" t="s">
        <v>140</v>
      </c>
      <c r="C6" s="210"/>
      <c r="D6" s="77"/>
      <c r="F6" s="195">
        <f>F24</f>
        <v>193.01700097333335</v>
      </c>
      <c r="G6" s="68">
        <f>F6/$F$4</f>
        <v>0.15254921983384637</v>
      </c>
      <c r="I6" s="195">
        <f>I24</f>
        <v>1072.1267978047933</v>
      </c>
      <c r="J6" s="68">
        <f>I6/$I$4</f>
        <v>0.48774195908071383</v>
      </c>
      <c r="L6" s="195">
        <f>L24</f>
        <v>380.05833097333334</v>
      </c>
      <c r="M6" s="18">
        <f>L6/$L$4</f>
        <v>0.1946057752112067</v>
      </c>
      <c r="O6" s="195">
        <f>O24</f>
        <v>1777.949914751111</v>
      </c>
      <c r="P6" s="18">
        <f t="shared" ref="P6:P8" si="0">O6/$O$4</f>
        <v>0.59092501108846429</v>
      </c>
      <c r="R6" s="66"/>
      <c r="S6" s="195">
        <f>S24</f>
        <v>193.01700097333335</v>
      </c>
      <c r="T6" s="18">
        <f t="shared" ref="T6:T8" si="1">S6/$S$4</f>
        <v>0.15254921983384637</v>
      </c>
    </row>
    <row r="7" spans="2:20" x14ac:dyDescent="0.25">
      <c r="B7" s="17" t="s">
        <v>215</v>
      </c>
      <c r="C7" s="210"/>
      <c r="D7" s="77"/>
      <c r="F7" s="195">
        <f>F71</f>
        <v>385.57151111111114</v>
      </c>
      <c r="G7" s="68">
        <f>F7/$F$4</f>
        <v>0.30473291426947119</v>
      </c>
      <c r="I7" s="195">
        <f>I71</f>
        <v>391.3854238311111</v>
      </c>
      <c r="J7" s="68">
        <f>I7/$I$4</f>
        <v>0.17805272078441109</v>
      </c>
      <c r="L7" s="195">
        <f>L71</f>
        <v>385.57151111111114</v>
      </c>
      <c r="M7" s="18">
        <f>L7/$L$4</f>
        <v>0.19742875423088396</v>
      </c>
      <c r="O7" s="195">
        <f>O71</f>
        <v>385.57151111111114</v>
      </c>
      <c r="P7" s="18">
        <f t="shared" si="0"/>
        <v>0.12814975696918007</v>
      </c>
      <c r="R7" s="66"/>
      <c r="S7" s="195">
        <f>S71</f>
        <v>385.57151111111114</v>
      </c>
      <c r="T7" s="18">
        <f t="shared" si="1"/>
        <v>0.30473291426947119</v>
      </c>
    </row>
    <row r="8" spans="2:20" x14ac:dyDescent="0.25">
      <c r="B8" s="103" t="s">
        <v>105</v>
      </c>
      <c r="C8" s="209"/>
      <c r="D8" s="78"/>
      <c r="E8" s="70"/>
      <c r="F8" s="196">
        <f>F68</f>
        <v>16.846666666666668</v>
      </c>
      <c r="G8" s="104">
        <f>F8/$F$4</f>
        <v>1.331460878493248E-2</v>
      </c>
      <c r="H8" s="72"/>
      <c r="I8" s="196">
        <f>I68</f>
        <v>16.868833333333331</v>
      </c>
      <c r="J8" s="105">
        <f>I8/$I$4</f>
        <v>7.6741275698474689E-3</v>
      </c>
      <c r="K8" s="72"/>
      <c r="L8" s="196">
        <f>L68</f>
        <v>17.954999999999998</v>
      </c>
      <c r="M8" s="106">
        <f>L8/$L$4</f>
        <v>9.1937116204469718E-3</v>
      </c>
      <c r="N8" s="72"/>
      <c r="O8" s="196">
        <f>O68</f>
        <v>17.866333333333333</v>
      </c>
      <c r="P8" s="106">
        <f t="shared" si="0"/>
        <v>5.9381105932830112E-3</v>
      </c>
      <c r="Q8" s="96"/>
      <c r="R8" s="72"/>
      <c r="S8" s="196">
        <f>S68</f>
        <v>16.846666666666668</v>
      </c>
      <c r="T8" s="106">
        <f t="shared" si="1"/>
        <v>1.331460878493248E-2</v>
      </c>
    </row>
    <row r="9" spans="2:20" x14ac:dyDescent="0.25">
      <c r="R9" s="66"/>
      <c r="S9" s="191"/>
    </row>
    <row r="10" spans="2:20" ht="26.4" x14ac:dyDescent="0.25">
      <c r="C10" s="211" t="s">
        <v>143</v>
      </c>
      <c r="D10" s="75"/>
      <c r="E10" s="29" t="s">
        <v>116</v>
      </c>
      <c r="F10" s="197" t="str">
        <f>Invulblad!E6</f>
        <v>Referentie</v>
      </c>
      <c r="G10" s="49"/>
      <c r="H10" s="50" t="s">
        <v>116</v>
      </c>
      <c r="I10" s="197" t="str">
        <f>Invulblad!F6</f>
        <v>PACAS</v>
      </c>
      <c r="J10" s="51"/>
      <c r="K10" s="50" t="s">
        <v>116</v>
      </c>
      <c r="L10" s="197" t="str">
        <f>Invulblad!G6</f>
        <v>Ozon + ZF</v>
      </c>
      <c r="M10" s="38"/>
      <c r="N10" s="50" t="s">
        <v>116</v>
      </c>
      <c r="O10" s="197" t="str">
        <f>Invulblad!H6</f>
        <v>GAK</v>
      </c>
      <c r="P10" s="38"/>
      <c r="R10" s="50" t="s">
        <v>116</v>
      </c>
      <c r="S10" s="197" t="str">
        <f>Invulblad!I6</f>
        <v>Naam invullen</v>
      </c>
      <c r="T10" s="38"/>
    </row>
    <row r="11" spans="2:20" ht="26.4" x14ac:dyDescent="0.25">
      <c r="C11" s="212" t="s">
        <v>197</v>
      </c>
      <c r="D11" s="76"/>
      <c r="E11" s="30" t="s">
        <v>117</v>
      </c>
      <c r="F11" s="198" t="s">
        <v>171</v>
      </c>
      <c r="G11" s="52"/>
      <c r="H11" s="53" t="s">
        <v>121</v>
      </c>
      <c r="I11" s="198" t="s">
        <v>171</v>
      </c>
      <c r="J11" s="54"/>
      <c r="K11" s="53" t="s">
        <v>122</v>
      </c>
      <c r="L11" s="198" t="s">
        <v>171</v>
      </c>
      <c r="M11" s="39"/>
      <c r="N11" s="53" t="s">
        <v>151</v>
      </c>
      <c r="O11" s="198" t="s">
        <v>171</v>
      </c>
      <c r="P11" s="39"/>
      <c r="R11" s="53" t="s">
        <v>151</v>
      </c>
      <c r="S11" s="198" t="s">
        <v>171</v>
      </c>
      <c r="T11" s="39"/>
    </row>
    <row r="12" spans="2:20" ht="15.6" x14ac:dyDescent="0.3">
      <c r="B12" s="19" t="s">
        <v>15</v>
      </c>
      <c r="C12" s="213"/>
      <c r="D12" s="80"/>
      <c r="E12" s="31"/>
      <c r="F12" s="199">
        <f>SUM(F13:F18)</f>
        <v>669.84170161290308</v>
      </c>
      <c r="G12" s="55"/>
      <c r="H12" s="56"/>
      <c r="I12" s="199">
        <f>SUM(I13:I18)</f>
        <v>717.76240561290308</v>
      </c>
      <c r="J12" s="57"/>
      <c r="K12" s="56"/>
      <c r="L12" s="199">
        <f>SUM(L13:L18)</f>
        <v>1014.1565676129031</v>
      </c>
      <c r="M12" s="46"/>
      <c r="N12" s="56"/>
      <c r="O12" s="199">
        <f>SUM(O13:O18)</f>
        <v>672.14558161290302</v>
      </c>
      <c r="P12" s="46"/>
      <c r="R12" s="56"/>
      <c r="S12" s="199">
        <f>SUM(S13:S18)</f>
        <v>669.84170161290308</v>
      </c>
      <c r="T12" s="46"/>
    </row>
    <row r="13" spans="2:20" x14ac:dyDescent="0.25">
      <c r="B13" s="20" t="s">
        <v>15</v>
      </c>
      <c r="C13" s="10"/>
      <c r="D13" s="40"/>
      <c r="E13" s="32"/>
      <c r="F13" s="200"/>
      <c r="G13" s="58"/>
      <c r="H13" s="59"/>
      <c r="I13" s="200"/>
      <c r="J13" s="58"/>
      <c r="K13" s="59"/>
      <c r="L13" s="200"/>
      <c r="M13" s="47"/>
      <c r="N13" s="59"/>
      <c r="O13" s="200"/>
      <c r="P13" s="47"/>
      <c r="R13" s="59"/>
      <c r="S13" s="200"/>
      <c r="T13" s="47"/>
    </row>
    <row r="14" spans="2:20" x14ac:dyDescent="0.25">
      <c r="B14" s="22" t="s">
        <v>141</v>
      </c>
      <c r="C14" s="10">
        <v>0.52600000000000002</v>
      </c>
      <c r="D14" s="40" t="s">
        <v>3</v>
      </c>
      <c r="E14" s="27">
        <f>Invulblad!E32+Invulblad!E40</f>
        <v>1193548.3870967741</v>
      </c>
      <c r="F14" s="200">
        <f>C14*E14/1000</f>
        <v>627.80645161290317</v>
      </c>
      <c r="G14" s="58"/>
      <c r="H14" s="60">
        <f>Invulblad!F32+Invulblad!F40</f>
        <v>1284652.3870967741</v>
      </c>
      <c r="I14" s="200">
        <f>H14*C14/1000</f>
        <v>675.72715561290318</v>
      </c>
      <c r="J14" s="58"/>
      <c r="K14" s="60">
        <f>Invulblad!G32+Invulblad!G40</f>
        <v>1848139.3870967741</v>
      </c>
      <c r="L14" s="200">
        <f>K14*C14/1000</f>
        <v>972.12131761290323</v>
      </c>
      <c r="M14" s="42"/>
      <c r="N14" s="60">
        <f>Invulblad!H32+Invulblad!H40</f>
        <v>1197928.3870967741</v>
      </c>
      <c r="O14" s="200">
        <f>N14*C14/1000</f>
        <v>630.11033161290311</v>
      </c>
      <c r="P14" s="42"/>
      <c r="R14" s="60">
        <f>Invulblad!I32+Invulblad!I40</f>
        <v>1193548.3870967741</v>
      </c>
      <c r="S14" s="200">
        <f>R14*C14/1000</f>
        <v>627.80645161290317</v>
      </c>
      <c r="T14" s="42"/>
    </row>
    <row r="15" spans="2:20" x14ac:dyDescent="0.25">
      <c r="B15" s="22" t="s">
        <v>4</v>
      </c>
      <c r="C15" s="10">
        <v>1.7909999999999999</v>
      </c>
      <c r="D15" s="41" t="s">
        <v>5</v>
      </c>
      <c r="E15" s="27">
        <f>Invulblad!E33</f>
        <v>3710</v>
      </c>
      <c r="F15" s="200">
        <f>C15*E15/1000</f>
        <v>6.6446099999999992</v>
      </c>
      <c r="G15" s="58"/>
      <c r="H15" s="60">
        <f>Invulblad!F33</f>
        <v>3710</v>
      </c>
      <c r="I15" s="200">
        <f>H15*C15/1000</f>
        <v>6.6446099999999992</v>
      </c>
      <c r="J15" s="58"/>
      <c r="K15" s="60">
        <f>Invulblad!G33</f>
        <v>3710</v>
      </c>
      <c r="L15" s="200">
        <f>K15*C15/1000</f>
        <v>6.6446099999999992</v>
      </c>
      <c r="M15" s="42"/>
      <c r="N15" s="60">
        <f>Invulblad!H33</f>
        <v>3710</v>
      </c>
      <c r="O15" s="200">
        <f>N15*C15/1000</f>
        <v>6.6446099999999992</v>
      </c>
      <c r="P15" s="42"/>
      <c r="R15" s="60">
        <f>Invulblad!I33</f>
        <v>3710</v>
      </c>
      <c r="S15" s="200">
        <f>R15*C15/1000</f>
        <v>6.6446099999999992</v>
      </c>
      <c r="T15" s="42"/>
    </row>
    <row r="16" spans="2:20" x14ac:dyDescent="0.25">
      <c r="B16" s="22" t="s">
        <v>6</v>
      </c>
      <c r="C16" s="10">
        <v>1110</v>
      </c>
      <c r="D16" s="81" t="s">
        <v>10</v>
      </c>
      <c r="E16" s="27">
        <f>Invulblad!E34</f>
        <v>0</v>
      </c>
      <c r="F16" s="200">
        <f>C16*E16/1000</f>
        <v>0</v>
      </c>
      <c r="G16" s="58"/>
      <c r="H16" s="60">
        <f>Invulblad!F34</f>
        <v>0</v>
      </c>
      <c r="I16" s="200">
        <f>H16*C16/1000</f>
        <v>0</v>
      </c>
      <c r="J16" s="58"/>
      <c r="K16" s="60">
        <f>Invulblad!G34</f>
        <v>0</v>
      </c>
      <c r="L16" s="200">
        <f>K16*C16/1000</f>
        <v>0</v>
      </c>
      <c r="M16" s="42"/>
      <c r="N16" s="60">
        <f>Invulblad!H34</f>
        <v>0</v>
      </c>
      <c r="O16" s="200">
        <f>N16*C16/1000</f>
        <v>0</v>
      </c>
      <c r="P16" s="42"/>
      <c r="R16" s="60">
        <f>Invulblad!I34</f>
        <v>0</v>
      </c>
      <c r="S16" s="200">
        <f>R16*C16/1000</f>
        <v>0</v>
      </c>
      <c r="T16" s="42"/>
    </row>
    <row r="17" spans="1:20" x14ac:dyDescent="0.25">
      <c r="B17" s="20" t="s">
        <v>16</v>
      </c>
      <c r="C17" s="10"/>
      <c r="D17" s="40"/>
      <c r="E17" s="27"/>
      <c r="F17" s="200"/>
      <c r="G17" s="58"/>
      <c r="H17" s="60"/>
      <c r="I17" s="200"/>
      <c r="J17" s="58"/>
      <c r="K17" s="60"/>
      <c r="L17" s="200">
        <f>K17*C17/1000</f>
        <v>0</v>
      </c>
      <c r="M17" s="42"/>
      <c r="N17" s="60"/>
      <c r="O17" s="200">
        <f>N17*G17/1000</f>
        <v>0</v>
      </c>
      <c r="P17" s="42"/>
      <c r="R17" s="60"/>
      <c r="S17" s="200">
        <f>R17*K17/1000</f>
        <v>0</v>
      </c>
      <c r="T17" s="42"/>
    </row>
    <row r="18" spans="1:20" x14ac:dyDescent="0.25">
      <c r="B18" s="22" t="s">
        <v>78</v>
      </c>
      <c r="C18" s="10">
        <v>2.2119149999999999</v>
      </c>
      <c r="D18" s="40" t="s">
        <v>11</v>
      </c>
      <c r="E18" s="27">
        <f>Invulblad!E36</f>
        <v>16000</v>
      </c>
      <c r="F18" s="200">
        <f>C18*E18/1000</f>
        <v>35.390639999999998</v>
      </c>
      <c r="G18" s="58"/>
      <c r="H18" s="60">
        <f>Invulblad!F36</f>
        <v>16000</v>
      </c>
      <c r="I18" s="200">
        <f>H18*C18/1000</f>
        <v>35.390639999999998</v>
      </c>
      <c r="J18" s="58"/>
      <c r="K18" s="60">
        <f>Invulblad!G36</f>
        <v>16000</v>
      </c>
      <c r="L18" s="200">
        <f>K18*C18/1000</f>
        <v>35.390639999999998</v>
      </c>
      <c r="M18" s="42"/>
      <c r="N18" s="60">
        <f>Invulblad!H36</f>
        <v>16000</v>
      </c>
      <c r="O18" s="200">
        <f>N18*C18/1000</f>
        <v>35.390639999999998</v>
      </c>
      <c r="P18" s="42"/>
      <c r="R18" s="60">
        <f>Invulblad!I36</f>
        <v>16000</v>
      </c>
      <c r="S18" s="200">
        <f>R18*C18/1000</f>
        <v>35.390639999999998</v>
      </c>
      <c r="T18" s="42"/>
    </row>
    <row r="19" spans="1:20" x14ac:dyDescent="0.25">
      <c r="B19" s="22"/>
      <c r="C19" s="10"/>
      <c r="D19" s="40"/>
      <c r="E19" s="27"/>
      <c r="F19" s="200"/>
      <c r="G19" s="58"/>
      <c r="H19" s="60"/>
      <c r="I19" s="200"/>
      <c r="J19" s="58"/>
      <c r="K19" s="60"/>
      <c r="L19" s="200"/>
      <c r="M19" s="42"/>
      <c r="N19" s="60"/>
      <c r="O19" s="200"/>
      <c r="P19" s="42"/>
      <c r="R19" s="60"/>
      <c r="S19" s="200"/>
      <c r="T19" s="42"/>
    </row>
    <row r="20" spans="1:20" s="101" customFormat="1" ht="15.6" x14ac:dyDescent="0.3">
      <c r="A20" s="97"/>
      <c r="B20" s="25" t="str">
        <f>Invulblad!B42</f>
        <v>Overig invloed nabehandeling op rwzi</v>
      </c>
      <c r="C20" s="214"/>
      <c r="D20" s="98"/>
      <c r="E20" s="35"/>
      <c r="F20" s="201">
        <f>F21+F22</f>
        <v>0</v>
      </c>
      <c r="G20" s="99"/>
      <c r="H20" s="61"/>
      <c r="I20" s="201">
        <f>I21+I22</f>
        <v>0</v>
      </c>
      <c r="J20" s="99"/>
      <c r="K20" s="61"/>
      <c r="L20" s="201">
        <f>L21+L22</f>
        <v>155.22391500000003</v>
      </c>
      <c r="M20" s="100"/>
      <c r="N20" s="61"/>
      <c r="O20" s="201">
        <f>O21+O22</f>
        <v>155.22391500000003</v>
      </c>
      <c r="P20" s="100"/>
      <c r="R20" s="61"/>
      <c r="S20" s="201">
        <f>S21+S22</f>
        <v>0</v>
      </c>
      <c r="T20" s="100"/>
    </row>
    <row r="21" spans="1:20" s="85" customFormat="1" x14ac:dyDescent="0.25">
      <c r="A21" s="90"/>
      <c r="B21" s="24" t="s">
        <v>194</v>
      </c>
      <c r="C21" s="10">
        <f>C14</f>
        <v>0.52600000000000002</v>
      </c>
      <c r="D21" s="40" t="s">
        <v>3</v>
      </c>
      <c r="E21" s="27">
        <v>0</v>
      </c>
      <c r="F21" s="200">
        <f>$C$21*E21/1000</f>
        <v>0</v>
      </c>
      <c r="G21" s="58"/>
      <c r="H21" s="60">
        <f>Invulblad!F43/8*0.035*Invulblad!F19</f>
        <v>0</v>
      </c>
      <c r="I21" s="200">
        <f>$C$21*H21/1000</f>
        <v>0</v>
      </c>
      <c r="J21" s="58"/>
      <c r="K21" s="60">
        <f>Invulblad!G43/8*0.035*Invulblad!G19</f>
        <v>187792.50000000003</v>
      </c>
      <c r="L21" s="200">
        <f>$C$21*K21/1000</f>
        <v>98.778855000000021</v>
      </c>
      <c r="M21" s="42"/>
      <c r="N21" s="60">
        <f>Invulblad!G43/8*0.035*Invulblad!G19</f>
        <v>187792.50000000003</v>
      </c>
      <c r="O21" s="200">
        <f>$C$21*N21/1000</f>
        <v>98.778855000000021</v>
      </c>
      <c r="P21" s="42"/>
      <c r="R21" s="60">
        <f>Invulblad!I43/8*0.035*Invulblad!I19</f>
        <v>0</v>
      </c>
      <c r="S21" s="200">
        <f>$C$21*R21/1000</f>
        <v>0</v>
      </c>
      <c r="T21" s="42"/>
    </row>
    <row r="22" spans="1:20" s="85" customFormat="1" x14ac:dyDescent="0.25">
      <c r="A22" s="90"/>
      <c r="B22" s="24" t="s">
        <v>193</v>
      </c>
      <c r="C22" s="10">
        <f>C14</f>
        <v>0.52600000000000002</v>
      </c>
      <c r="D22" s="40" t="s">
        <v>3</v>
      </c>
      <c r="E22" s="27">
        <v>0</v>
      </c>
      <c r="F22" s="200">
        <f>$C$22*E22/1000</f>
        <v>0</v>
      </c>
      <c r="G22" s="58"/>
      <c r="H22" s="60">
        <f>Invulblad!F45*0.2</f>
        <v>0</v>
      </c>
      <c r="I22" s="200">
        <f>$C$22*H22/1000</f>
        <v>0</v>
      </c>
      <c r="J22" s="58"/>
      <c r="K22" s="60">
        <f>Invulblad!G45*0.2</f>
        <v>107310</v>
      </c>
      <c r="L22" s="200">
        <f>$C$22*K22/1000</f>
        <v>56.445060000000005</v>
      </c>
      <c r="M22" s="42"/>
      <c r="N22" s="60">
        <f>Invulblad!H45*0.2</f>
        <v>107310</v>
      </c>
      <c r="O22" s="200">
        <f>$C$22*N22/1000</f>
        <v>56.445060000000005</v>
      </c>
      <c r="P22" s="42"/>
      <c r="R22" s="60">
        <f>Invulblad!I45*0.2</f>
        <v>0</v>
      </c>
      <c r="S22" s="200">
        <f>$C$22*R22/1000</f>
        <v>0</v>
      </c>
      <c r="T22" s="42"/>
    </row>
    <row r="23" spans="1:20" s="85" customFormat="1" x14ac:dyDescent="0.25">
      <c r="A23" s="90"/>
      <c r="B23" s="22"/>
      <c r="C23" s="10"/>
      <c r="D23" s="40"/>
      <c r="E23" s="27"/>
      <c r="F23" s="200"/>
      <c r="G23" s="58"/>
      <c r="H23" s="60"/>
      <c r="I23" s="200"/>
      <c r="J23" s="58"/>
      <c r="K23" s="60"/>
      <c r="L23" s="200"/>
      <c r="M23" s="42"/>
      <c r="N23" s="60"/>
      <c r="O23" s="200"/>
      <c r="P23" s="42"/>
      <c r="R23" s="60"/>
      <c r="S23" s="200"/>
      <c r="T23" s="42"/>
    </row>
    <row r="24" spans="1:20" ht="15.6" x14ac:dyDescent="0.3">
      <c r="B24" s="25" t="s">
        <v>139</v>
      </c>
      <c r="C24" s="10"/>
      <c r="D24" s="40"/>
      <c r="E24" s="27"/>
      <c r="F24" s="201">
        <f>SUM(F25:F66)</f>
        <v>193.01700097333335</v>
      </c>
      <c r="G24" s="62"/>
      <c r="H24" s="60"/>
      <c r="I24" s="201">
        <f>SUM(I25:I66)</f>
        <v>1072.1267978047933</v>
      </c>
      <c r="J24" s="62"/>
      <c r="K24" s="60"/>
      <c r="L24" s="201">
        <f>SUM(L25:L66)</f>
        <v>380.05833097333334</v>
      </c>
      <c r="M24" s="48"/>
      <c r="N24" s="60"/>
      <c r="O24" s="201">
        <f>SUM(O25:O66)</f>
        <v>1777.949914751111</v>
      </c>
      <c r="P24" s="48"/>
      <c r="R24" s="60"/>
      <c r="S24" s="201">
        <f>SUM(S25:S66)</f>
        <v>193.01700097333335</v>
      </c>
      <c r="T24" s="48"/>
    </row>
    <row r="25" spans="1:20" x14ac:dyDescent="0.25">
      <c r="B25" s="24" t="str">
        <f>Invulblad!B49</f>
        <v>Actieve kool</v>
      </c>
      <c r="C25" s="10">
        <v>9.6035911111111094</v>
      </c>
      <c r="D25" s="40" t="s">
        <v>11</v>
      </c>
      <c r="E25" s="27">
        <f>Invulblad!E49</f>
        <v>0</v>
      </c>
      <c r="F25" s="200">
        <f t="shared" ref="F25:F66" si="2">C25*E25/1000</f>
        <v>0</v>
      </c>
      <c r="G25" s="58"/>
      <c r="H25" s="60">
        <f>Invulblad!F49</f>
        <v>91980</v>
      </c>
      <c r="I25" s="200">
        <f t="shared" ref="I25:I66" si="3">H25*C25/1000</f>
        <v>883.33831039999984</v>
      </c>
      <c r="J25" s="58"/>
      <c r="K25" s="60">
        <f>Invulblad!G49</f>
        <v>0</v>
      </c>
      <c r="L25" s="200">
        <f t="shared" ref="L25:L66" si="4">K25*C25/1000</f>
        <v>0</v>
      </c>
      <c r="M25" s="42"/>
      <c r="N25" s="60">
        <f>Invulblad!H49</f>
        <v>83200</v>
      </c>
      <c r="O25" s="200">
        <f t="shared" ref="O25:O66" si="5">N25*C25/1000</f>
        <v>799.01878044444425</v>
      </c>
      <c r="P25" s="42"/>
      <c r="Q25" s="21">
        <v>164.32</v>
      </c>
      <c r="R25" s="60">
        <f>Invulblad!I49</f>
        <v>0</v>
      </c>
      <c r="S25" s="200">
        <f>R25*C25/1000</f>
        <v>0</v>
      </c>
      <c r="T25" s="42"/>
    </row>
    <row r="26" spans="1:20" x14ac:dyDescent="0.25">
      <c r="B26" s="24" t="str">
        <f>Invulblad!B50</f>
        <v>Actieve kool geregenereerd</v>
      </c>
      <c r="C26" s="10">
        <v>2.5189555555555554</v>
      </c>
      <c r="D26" s="40" t="s">
        <v>11</v>
      </c>
      <c r="E26" s="27">
        <f>Invulblad!E50</f>
        <v>0</v>
      </c>
      <c r="F26" s="200">
        <f t="shared" si="2"/>
        <v>0</v>
      </c>
      <c r="G26" s="58"/>
      <c r="H26" s="60">
        <f>Invulblad!F50</f>
        <v>0</v>
      </c>
      <c r="I26" s="200">
        <f t="shared" si="3"/>
        <v>0</v>
      </c>
      <c r="J26" s="58"/>
      <c r="K26" s="60">
        <f>Invulblad!G50</f>
        <v>0</v>
      </c>
      <c r="L26" s="200">
        <f t="shared" si="4"/>
        <v>0</v>
      </c>
      <c r="M26" s="42"/>
      <c r="N26" s="60">
        <f>Invulblad!H50</f>
        <v>312000</v>
      </c>
      <c r="O26" s="200">
        <f t="shared" si="5"/>
        <v>785.91413333333333</v>
      </c>
      <c r="P26" s="42"/>
      <c r="Q26" s="21">
        <v>43.1</v>
      </c>
      <c r="R26" s="60">
        <f>Invulblad!I50</f>
        <v>0</v>
      </c>
      <c r="S26" s="200">
        <f>R26*C26/1000</f>
        <v>0</v>
      </c>
      <c r="T26" s="42"/>
    </row>
    <row r="27" spans="1:20" x14ac:dyDescent="0.25">
      <c r="B27" s="189" t="s">
        <v>210</v>
      </c>
      <c r="C27" s="10">
        <f>C25*0.41</f>
        <v>3.9374723555555544</v>
      </c>
      <c r="D27" s="190" t="s">
        <v>11</v>
      </c>
      <c r="E27" s="27">
        <f>Invulblad!E51</f>
        <v>0</v>
      </c>
      <c r="F27" s="200">
        <f t="shared" ref="F27" si="6">C27*E27/1000</f>
        <v>0</v>
      </c>
      <c r="G27" s="58"/>
      <c r="H27" s="60">
        <f>Invulblad!F51</f>
        <v>0</v>
      </c>
      <c r="I27" s="200">
        <f t="shared" ref="I27" si="7">H27*C27/1000</f>
        <v>0</v>
      </c>
      <c r="J27" s="58"/>
      <c r="K27" s="60">
        <f>Invulblad!G51</f>
        <v>0</v>
      </c>
      <c r="L27" s="200">
        <f t="shared" ref="L27" si="8">K27*C27/1000</f>
        <v>0</v>
      </c>
      <c r="M27" s="42"/>
      <c r="N27" s="60">
        <f>Invulblad!H51</f>
        <v>0</v>
      </c>
      <c r="O27" s="200">
        <f t="shared" ref="O27" si="9">N27*C27/1000</f>
        <v>0</v>
      </c>
      <c r="P27" s="42"/>
      <c r="Q27" s="21">
        <v>44.1</v>
      </c>
      <c r="R27" s="60">
        <f>Invulblad!I51</f>
        <v>0</v>
      </c>
      <c r="S27" s="200">
        <f>R27*C27/1000</f>
        <v>0</v>
      </c>
      <c r="T27" s="42"/>
    </row>
    <row r="28" spans="1:20" x14ac:dyDescent="0.25">
      <c r="A28" s="26"/>
      <c r="B28" s="24" t="str">
        <f>Invulblad!B52</f>
        <v>Aluminiumchloride, hydraatvorm</v>
      </c>
      <c r="C28" s="10">
        <f>0.870822222222222*0.4</f>
        <v>0.34832888888888885</v>
      </c>
      <c r="D28" s="40" t="s">
        <v>11</v>
      </c>
      <c r="E28" s="27">
        <f>Invulblad!E52</f>
        <v>0</v>
      </c>
      <c r="F28" s="200">
        <f t="shared" si="2"/>
        <v>0</v>
      </c>
      <c r="G28" s="58"/>
      <c r="H28" s="60">
        <f>Invulblad!F52</f>
        <v>0</v>
      </c>
      <c r="I28" s="200">
        <f t="shared" si="3"/>
        <v>0</v>
      </c>
      <c r="J28" s="58"/>
      <c r="K28" s="60">
        <f>Invulblad!G52</f>
        <v>0</v>
      </c>
      <c r="L28" s="200">
        <f t="shared" si="4"/>
        <v>0</v>
      </c>
      <c r="M28" s="42"/>
      <c r="N28" s="60">
        <f>Invulblad!H52</f>
        <v>0</v>
      </c>
      <c r="O28" s="200">
        <f t="shared" si="5"/>
        <v>0</v>
      </c>
      <c r="P28" s="42"/>
      <c r="Q28" s="21">
        <v>14.9</v>
      </c>
      <c r="R28" s="60">
        <f>Invulblad!I52</f>
        <v>0</v>
      </c>
      <c r="S28" s="200">
        <f>R28*C28/1000</f>
        <v>0</v>
      </c>
      <c r="T28" s="42"/>
    </row>
    <row r="29" spans="1:20" x14ac:dyDescent="0.25">
      <c r="B29" s="24" t="str">
        <f>Invulblad!B53</f>
        <v>Aluminiumsulfaat, poedervorm</v>
      </c>
      <c r="C29" s="10">
        <v>0.54937777777777785</v>
      </c>
      <c r="D29" s="40" t="s">
        <v>11</v>
      </c>
      <c r="E29" s="27">
        <f>Invulblad!E53</f>
        <v>0</v>
      </c>
      <c r="F29" s="200">
        <f t="shared" si="2"/>
        <v>0</v>
      </c>
      <c r="G29" s="58"/>
      <c r="H29" s="60">
        <f>Invulblad!F53</f>
        <v>0</v>
      </c>
      <c r="I29" s="200">
        <f t="shared" si="3"/>
        <v>0</v>
      </c>
      <c r="J29" s="58"/>
      <c r="K29" s="60">
        <f>Invulblad!G53</f>
        <v>0</v>
      </c>
      <c r="L29" s="200">
        <f t="shared" si="4"/>
        <v>0</v>
      </c>
      <c r="M29" s="42"/>
      <c r="N29" s="60">
        <f>Invulblad!H53</f>
        <v>0</v>
      </c>
      <c r="O29" s="200">
        <f t="shared" si="5"/>
        <v>0</v>
      </c>
      <c r="P29" s="42"/>
      <c r="Q29" s="21">
        <v>9.4</v>
      </c>
      <c r="R29" s="60">
        <f>Invulblad!I53</f>
        <v>0</v>
      </c>
      <c r="S29" s="200">
        <f t="shared" ref="S29:S66" si="10">R29*C29/1000</f>
        <v>0</v>
      </c>
      <c r="T29" s="42"/>
    </row>
    <row r="30" spans="1:20" x14ac:dyDescent="0.25">
      <c r="B30" s="24" t="str">
        <f>Invulblad!B54</f>
        <v>Antiscalants (polycarboxylaten)</v>
      </c>
      <c r="C30" s="10">
        <v>1.7299555555555557</v>
      </c>
      <c r="D30" s="40" t="s">
        <v>11</v>
      </c>
      <c r="E30" s="27">
        <f>Invulblad!E54</f>
        <v>0</v>
      </c>
      <c r="F30" s="200">
        <f t="shared" si="2"/>
        <v>0</v>
      </c>
      <c r="G30" s="58"/>
      <c r="H30" s="60">
        <f>Invulblad!F54</f>
        <v>0</v>
      </c>
      <c r="I30" s="200">
        <f t="shared" si="3"/>
        <v>0</v>
      </c>
      <c r="J30" s="58"/>
      <c r="K30" s="60">
        <f>Invulblad!G54</f>
        <v>0</v>
      </c>
      <c r="L30" s="200">
        <f t="shared" si="4"/>
        <v>0</v>
      </c>
      <c r="M30" s="42"/>
      <c r="N30" s="60">
        <f>Invulblad!H54</f>
        <v>0</v>
      </c>
      <c r="O30" s="200">
        <f t="shared" si="5"/>
        <v>0</v>
      </c>
      <c r="P30" s="42"/>
      <c r="Q30" s="21">
        <v>29.6</v>
      </c>
      <c r="R30" s="60">
        <f>Invulblad!I54</f>
        <v>0</v>
      </c>
      <c r="S30" s="200">
        <f t="shared" si="10"/>
        <v>0</v>
      </c>
      <c r="T30" s="42"/>
    </row>
    <row r="31" spans="1:20" x14ac:dyDescent="0.25">
      <c r="B31" s="24" t="str">
        <f>Invulblad!B55</f>
        <v>Azijnzuur</v>
      </c>
      <c r="C31" s="10">
        <v>3.0585146666666669</v>
      </c>
      <c r="D31" s="40" t="s">
        <v>11</v>
      </c>
      <c r="E31" s="27">
        <f>Invulblad!E55</f>
        <v>0</v>
      </c>
      <c r="F31" s="200">
        <f t="shared" si="2"/>
        <v>0</v>
      </c>
      <c r="G31" s="58"/>
      <c r="H31" s="60">
        <f>Invulblad!F55</f>
        <v>0</v>
      </c>
      <c r="I31" s="200">
        <f t="shared" si="3"/>
        <v>0</v>
      </c>
      <c r="J31" s="58"/>
      <c r="K31" s="60">
        <f>Invulblad!G55</f>
        <v>0</v>
      </c>
      <c r="L31" s="200">
        <f t="shared" si="4"/>
        <v>0</v>
      </c>
      <c r="M31" s="42"/>
      <c r="N31" s="60">
        <f>Invulblad!H55</f>
        <v>0</v>
      </c>
      <c r="O31" s="200">
        <f t="shared" si="5"/>
        <v>0</v>
      </c>
      <c r="P31" s="42"/>
      <c r="Q31" s="21">
        <v>53.4</v>
      </c>
      <c r="R31" s="60">
        <f>Invulblad!I55</f>
        <v>0</v>
      </c>
      <c r="S31" s="200">
        <f t="shared" si="10"/>
        <v>0</v>
      </c>
      <c r="T31" s="42"/>
    </row>
    <row r="32" spans="1:20" x14ac:dyDescent="0.25">
      <c r="B32" s="24" t="str">
        <f>Invulblad!B56</f>
        <v>Bio-ethanol</v>
      </c>
      <c r="C32" s="10">
        <v>4.1196261555555553</v>
      </c>
      <c r="D32" s="40" t="s">
        <v>11</v>
      </c>
      <c r="E32" s="27">
        <f>Invulblad!E56</f>
        <v>0</v>
      </c>
      <c r="F32" s="200">
        <f t="shared" si="2"/>
        <v>0</v>
      </c>
      <c r="G32" s="58"/>
      <c r="H32" s="60">
        <f>Invulblad!F56</f>
        <v>0</v>
      </c>
      <c r="I32" s="200">
        <f t="shared" si="3"/>
        <v>0</v>
      </c>
      <c r="J32" s="58"/>
      <c r="K32" s="60">
        <f>Invulblad!G56</f>
        <v>0</v>
      </c>
      <c r="L32" s="200">
        <f t="shared" si="4"/>
        <v>0</v>
      </c>
      <c r="M32" s="42"/>
      <c r="N32" s="60">
        <f>Invulblad!H56</f>
        <v>0</v>
      </c>
      <c r="O32" s="200">
        <f t="shared" si="5"/>
        <v>0</v>
      </c>
      <c r="P32" s="42"/>
      <c r="Q32" s="21">
        <v>70.7</v>
      </c>
      <c r="R32" s="60">
        <f>Invulblad!I56</f>
        <v>0</v>
      </c>
      <c r="S32" s="200">
        <f t="shared" si="10"/>
        <v>0</v>
      </c>
      <c r="T32" s="42"/>
    </row>
    <row r="33" spans="2:20" x14ac:dyDescent="0.25">
      <c r="B33" s="24" t="str">
        <f>Invulblad!B57</f>
        <v xml:space="preserve">Calciumoxide (ongebluste kalk; poeder) </v>
      </c>
      <c r="C33" s="10">
        <v>0.33897777777777777</v>
      </c>
      <c r="D33" s="40" t="s">
        <v>11</v>
      </c>
      <c r="E33" s="27">
        <f>Invulblad!E57</f>
        <v>0</v>
      </c>
      <c r="F33" s="200">
        <f t="shared" si="2"/>
        <v>0</v>
      </c>
      <c r="G33" s="58"/>
      <c r="H33" s="60">
        <f>Invulblad!F57</f>
        <v>0</v>
      </c>
      <c r="I33" s="200">
        <f t="shared" si="3"/>
        <v>0</v>
      </c>
      <c r="J33" s="58"/>
      <c r="K33" s="60">
        <f>Invulblad!G57</f>
        <v>0</v>
      </c>
      <c r="L33" s="200">
        <f t="shared" si="4"/>
        <v>0</v>
      </c>
      <c r="M33" s="42"/>
      <c r="N33" s="60">
        <f>Invulblad!H57</f>
        <v>0</v>
      </c>
      <c r="O33" s="200">
        <f t="shared" si="5"/>
        <v>0</v>
      </c>
      <c r="P33" s="42"/>
      <c r="Q33" s="21">
        <v>5.8</v>
      </c>
      <c r="R33" s="60">
        <f>Invulblad!I57</f>
        <v>0</v>
      </c>
      <c r="S33" s="200">
        <f t="shared" si="10"/>
        <v>0</v>
      </c>
      <c r="T33" s="42"/>
    </row>
    <row r="34" spans="2:20" x14ac:dyDescent="0.25">
      <c r="B34" s="24" t="s">
        <v>216</v>
      </c>
      <c r="C34" s="10">
        <v>0.9</v>
      </c>
      <c r="D34" s="40" t="s">
        <v>11</v>
      </c>
      <c r="E34" s="27">
        <f>Invulblad!E58</f>
        <v>0</v>
      </c>
      <c r="F34" s="200">
        <f t="shared" si="2"/>
        <v>0</v>
      </c>
      <c r="G34" s="58"/>
      <c r="H34" s="60">
        <f>Invulblad!F58</f>
        <v>0</v>
      </c>
      <c r="I34" s="200">
        <f t="shared" ref="I34" si="11">H34*C34/1000</f>
        <v>0</v>
      </c>
      <c r="J34" s="58"/>
      <c r="K34" s="60">
        <f>Invulblad!G58</f>
        <v>0</v>
      </c>
      <c r="L34" s="200">
        <f t="shared" ref="L34" si="12">K34*C34/1000</f>
        <v>0</v>
      </c>
      <c r="M34" s="42"/>
      <c r="N34" s="60">
        <f>Invulblad!H58</f>
        <v>0</v>
      </c>
      <c r="O34" s="200">
        <f t="shared" ref="O34" si="13">N34*C34/1000</f>
        <v>0</v>
      </c>
      <c r="P34" s="42"/>
      <c r="Q34" s="21">
        <v>6.8</v>
      </c>
      <c r="R34" s="60">
        <f>Invulblad!I58</f>
        <v>0</v>
      </c>
      <c r="S34" s="200">
        <f t="shared" ref="S34" si="14">R34*C34/1000</f>
        <v>0</v>
      </c>
      <c r="T34" s="42"/>
    </row>
    <row r="35" spans="2:20" x14ac:dyDescent="0.25">
      <c r="B35" s="24" t="str">
        <f>Invulblad!B59</f>
        <v>Glycerine uit epichloorhydrine</v>
      </c>
      <c r="C35" s="10">
        <v>5.9613333333333332</v>
      </c>
      <c r="D35" s="40" t="s">
        <v>11</v>
      </c>
      <c r="E35" s="27">
        <f>Invulblad!E59</f>
        <v>0</v>
      </c>
      <c r="F35" s="200">
        <f t="shared" si="2"/>
        <v>0</v>
      </c>
      <c r="G35" s="58"/>
      <c r="H35" s="60">
        <f>Invulblad!F59</f>
        <v>0</v>
      </c>
      <c r="I35" s="200">
        <f t="shared" si="3"/>
        <v>0</v>
      </c>
      <c r="J35" s="58"/>
      <c r="K35" s="60">
        <f>Invulblad!G59</f>
        <v>0</v>
      </c>
      <c r="L35" s="200">
        <f t="shared" si="4"/>
        <v>0</v>
      </c>
      <c r="M35" s="42"/>
      <c r="N35" s="60">
        <f>Invulblad!H59</f>
        <v>0</v>
      </c>
      <c r="O35" s="200">
        <f t="shared" si="5"/>
        <v>0</v>
      </c>
      <c r="P35" s="42"/>
      <c r="Q35" s="21">
        <v>102</v>
      </c>
      <c r="R35" s="60">
        <f>Invulblad!I59</f>
        <v>0</v>
      </c>
      <c r="S35" s="200">
        <f t="shared" si="10"/>
        <v>0</v>
      </c>
      <c r="T35" s="42"/>
    </row>
    <row r="36" spans="2:20" x14ac:dyDescent="0.25">
      <c r="B36" s="24" t="str">
        <f>Invulblad!B60</f>
        <v>Glycerine uit koolzaadolie</v>
      </c>
      <c r="C36" s="10">
        <v>5.8444444444444441</v>
      </c>
      <c r="D36" s="40" t="s">
        <v>11</v>
      </c>
      <c r="E36" s="27">
        <f>Invulblad!E60</f>
        <v>0</v>
      </c>
      <c r="F36" s="200">
        <f t="shared" si="2"/>
        <v>0</v>
      </c>
      <c r="G36" s="58"/>
      <c r="H36" s="60">
        <f>Invulblad!F60</f>
        <v>0</v>
      </c>
      <c r="I36" s="200">
        <f t="shared" si="3"/>
        <v>0</v>
      </c>
      <c r="J36" s="58"/>
      <c r="K36" s="60">
        <f>Invulblad!G60</f>
        <v>0</v>
      </c>
      <c r="L36" s="200">
        <f t="shared" si="4"/>
        <v>0</v>
      </c>
      <c r="M36" s="42"/>
      <c r="N36" s="60">
        <f>Invulblad!H60</f>
        <v>0</v>
      </c>
      <c r="O36" s="200">
        <f t="shared" si="5"/>
        <v>0</v>
      </c>
      <c r="P36" s="42"/>
      <c r="Q36" s="21">
        <v>100</v>
      </c>
      <c r="R36" s="60">
        <f>Invulblad!I60</f>
        <v>0</v>
      </c>
      <c r="S36" s="200">
        <f t="shared" si="10"/>
        <v>0</v>
      </c>
      <c r="T36" s="42"/>
    </row>
    <row r="37" spans="2:20" x14ac:dyDescent="0.25">
      <c r="B37" s="24" t="str">
        <f>Invulblad!B61</f>
        <v>IJzer(III)chloride</v>
      </c>
      <c r="C37" s="10">
        <v>0.38105777777777783</v>
      </c>
      <c r="D37" s="40" t="s">
        <v>11</v>
      </c>
      <c r="E37" s="27">
        <f>Invulblad!E61</f>
        <v>260000</v>
      </c>
      <c r="F37" s="200">
        <f t="shared" si="2"/>
        <v>99.075022222222231</v>
      </c>
      <c r="G37" s="58"/>
      <c r="H37" s="60">
        <f>Invulblad!F61</f>
        <v>260000</v>
      </c>
      <c r="I37" s="200">
        <f t="shared" si="3"/>
        <v>99.075022222222231</v>
      </c>
      <c r="J37" s="58"/>
      <c r="K37" s="60">
        <f>Invulblad!G61</f>
        <v>260000</v>
      </c>
      <c r="L37" s="200">
        <f t="shared" si="4"/>
        <v>99.075022222222231</v>
      </c>
      <c r="M37" s="42"/>
      <c r="N37" s="60">
        <f>Invulblad!H61</f>
        <v>260000</v>
      </c>
      <c r="O37" s="200">
        <f t="shared" si="5"/>
        <v>99.075022222222231</v>
      </c>
      <c r="P37" s="42"/>
      <c r="Q37" s="21">
        <v>16.3</v>
      </c>
      <c r="R37" s="60">
        <f>Invulblad!I61</f>
        <v>260000</v>
      </c>
      <c r="S37" s="200">
        <f t="shared" si="10"/>
        <v>99.075022222222231</v>
      </c>
      <c r="T37" s="42"/>
    </row>
    <row r="38" spans="2:20" x14ac:dyDescent="0.25">
      <c r="B38" s="24" t="str">
        <f>Invulblad!B62</f>
        <v>IJzerchloridesulfaat</v>
      </c>
      <c r="C38" s="10">
        <v>0.71886666666666676</v>
      </c>
      <c r="D38" s="40" t="s">
        <v>11</v>
      </c>
      <c r="E38" s="27">
        <f>Invulblad!E62</f>
        <v>0</v>
      </c>
      <c r="F38" s="200">
        <f t="shared" si="2"/>
        <v>0</v>
      </c>
      <c r="G38" s="58"/>
      <c r="H38" s="60">
        <f>Invulblad!F62</f>
        <v>0</v>
      </c>
      <c r="I38" s="200">
        <f t="shared" si="3"/>
        <v>0</v>
      </c>
      <c r="J38" s="58"/>
      <c r="K38" s="60">
        <f>Invulblad!G62</f>
        <v>0</v>
      </c>
      <c r="L38" s="200">
        <f t="shared" si="4"/>
        <v>0</v>
      </c>
      <c r="M38" s="42"/>
      <c r="N38" s="60">
        <f>Invulblad!H62</f>
        <v>0</v>
      </c>
      <c r="O38" s="200">
        <f t="shared" si="5"/>
        <v>0</v>
      </c>
      <c r="P38" s="42"/>
      <c r="Q38" s="21">
        <v>12.3</v>
      </c>
      <c r="R38" s="60">
        <f>Invulblad!I62</f>
        <v>0</v>
      </c>
      <c r="S38" s="200">
        <f t="shared" si="10"/>
        <v>0</v>
      </c>
      <c r="T38" s="42"/>
    </row>
    <row r="39" spans="2:20" x14ac:dyDescent="0.25">
      <c r="B39" s="24" t="str">
        <f>Invulblad!B63</f>
        <v>IJzersulfaat</v>
      </c>
      <c r="C39" s="10">
        <v>0.19871111111111112</v>
      </c>
      <c r="D39" s="40" t="s">
        <v>11</v>
      </c>
      <c r="E39" s="27">
        <f>Invulblad!E63</f>
        <v>0</v>
      </c>
      <c r="F39" s="200">
        <f t="shared" si="2"/>
        <v>0</v>
      </c>
      <c r="G39" s="58"/>
      <c r="H39" s="60">
        <f>Invulblad!F63</f>
        <v>0</v>
      </c>
      <c r="I39" s="200">
        <f t="shared" si="3"/>
        <v>0</v>
      </c>
      <c r="J39" s="58"/>
      <c r="K39" s="60">
        <f>Invulblad!G63</f>
        <v>0</v>
      </c>
      <c r="L39" s="200">
        <f t="shared" si="4"/>
        <v>0</v>
      </c>
      <c r="M39" s="42"/>
      <c r="N39" s="60">
        <f>Invulblad!H63</f>
        <v>0</v>
      </c>
      <c r="O39" s="200">
        <f t="shared" si="5"/>
        <v>0</v>
      </c>
      <c r="P39" s="42"/>
      <c r="Q39" s="21">
        <v>3.4</v>
      </c>
      <c r="R39" s="60">
        <f>Invulblad!I63</f>
        <v>0</v>
      </c>
      <c r="S39" s="200">
        <f t="shared" si="10"/>
        <v>0</v>
      </c>
      <c r="T39" s="42"/>
    </row>
    <row r="40" spans="2:20" x14ac:dyDescent="0.25">
      <c r="B40" s="24" t="str">
        <f>Invulblad!B64</f>
        <v>Kalkhydraat</v>
      </c>
      <c r="C40" s="10">
        <v>0.25715555555555558</v>
      </c>
      <c r="D40" s="40" t="s">
        <v>11</v>
      </c>
      <c r="E40" s="27">
        <f>Invulblad!E64</f>
        <v>0</v>
      </c>
      <c r="F40" s="200">
        <f t="shared" si="2"/>
        <v>0</v>
      </c>
      <c r="G40" s="58"/>
      <c r="H40" s="60">
        <f>Invulblad!F64</f>
        <v>0</v>
      </c>
      <c r="I40" s="200">
        <f t="shared" si="3"/>
        <v>0</v>
      </c>
      <c r="J40" s="58"/>
      <c r="K40" s="60">
        <f>Invulblad!G64</f>
        <v>0</v>
      </c>
      <c r="L40" s="200">
        <f t="shared" si="4"/>
        <v>0</v>
      </c>
      <c r="M40" s="42"/>
      <c r="N40" s="60">
        <f>Invulblad!H64</f>
        <v>0</v>
      </c>
      <c r="O40" s="200">
        <f t="shared" si="5"/>
        <v>0</v>
      </c>
      <c r="P40" s="42"/>
      <c r="Q40" s="21">
        <v>4.4000000000000004</v>
      </c>
      <c r="R40" s="60">
        <f>Invulblad!I64</f>
        <v>0</v>
      </c>
      <c r="S40" s="200">
        <f t="shared" si="10"/>
        <v>0</v>
      </c>
      <c r="T40" s="42"/>
    </row>
    <row r="41" spans="2:20" x14ac:dyDescent="0.25">
      <c r="B41" s="24" t="str">
        <f>Invulblad!B65</f>
        <v>Kalkmelk op basis van gebluste kalk</v>
      </c>
      <c r="C41" s="10">
        <v>0.2513111111111111</v>
      </c>
      <c r="D41" s="40" t="s">
        <v>11</v>
      </c>
      <c r="E41" s="27">
        <f>Invulblad!E65</f>
        <v>0</v>
      </c>
      <c r="F41" s="200">
        <f t="shared" si="2"/>
        <v>0</v>
      </c>
      <c r="G41" s="58"/>
      <c r="H41" s="60">
        <f>Invulblad!F65</f>
        <v>0</v>
      </c>
      <c r="I41" s="200">
        <f t="shared" si="3"/>
        <v>0</v>
      </c>
      <c r="J41" s="58"/>
      <c r="K41" s="60">
        <f>Invulblad!G65</f>
        <v>0</v>
      </c>
      <c r="L41" s="200">
        <f t="shared" si="4"/>
        <v>0</v>
      </c>
      <c r="M41" s="42"/>
      <c r="N41" s="60">
        <f>Invulblad!H65</f>
        <v>0</v>
      </c>
      <c r="O41" s="200">
        <f t="shared" si="5"/>
        <v>0</v>
      </c>
      <c r="P41" s="42"/>
      <c r="Q41" s="21">
        <v>4.3</v>
      </c>
      <c r="R41" s="60">
        <f>Invulblad!I65</f>
        <v>0</v>
      </c>
      <c r="S41" s="200">
        <f t="shared" si="10"/>
        <v>0</v>
      </c>
      <c r="T41" s="42"/>
    </row>
    <row r="42" spans="2:20" x14ac:dyDescent="0.25">
      <c r="B42" s="24" t="str">
        <f>Invulblad!B66</f>
        <v>Koolstofdioxide, vloeibaar</v>
      </c>
      <c r="C42" s="10">
        <v>0.63704444444444441</v>
      </c>
      <c r="D42" s="40" t="s">
        <v>11</v>
      </c>
      <c r="E42" s="27">
        <f>Invulblad!E66</f>
        <v>0</v>
      </c>
      <c r="F42" s="200">
        <f t="shared" si="2"/>
        <v>0</v>
      </c>
      <c r="G42" s="58"/>
      <c r="H42" s="60">
        <f>Invulblad!F66</f>
        <v>0</v>
      </c>
      <c r="I42" s="200">
        <f t="shared" si="3"/>
        <v>0</v>
      </c>
      <c r="J42" s="58"/>
      <c r="K42" s="60">
        <f>Invulblad!G66</f>
        <v>0</v>
      </c>
      <c r="L42" s="200">
        <f t="shared" si="4"/>
        <v>0</v>
      </c>
      <c r="M42" s="42"/>
      <c r="N42" s="60">
        <f>Invulblad!H66</f>
        <v>0</v>
      </c>
      <c r="O42" s="200">
        <f t="shared" si="5"/>
        <v>0</v>
      </c>
      <c r="P42" s="42"/>
      <c r="Q42" s="21">
        <v>10.9</v>
      </c>
      <c r="R42" s="60">
        <f>Invulblad!I66</f>
        <v>0</v>
      </c>
      <c r="S42" s="200">
        <f t="shared" si="10"/>
        <v>0</v>
      </c>
      <c r="T42" s="42"/>
    </row>
    <row r="43" spans="2:20" x14ac:dyDescent="0.25">
      <c r="B43" s="24" t="str">
        <f>Invulblad!B67</f>
        <v>Magnesiumchloride</v>
      </c>
      <c r="C43" s="10">
        <v>6.6276000000000002E-2</v>
      </c>
      <c r="D43" s="40" t="s">
        <v>11</v>
      </c>
      <c r="E43" s="27">
        <f>Invulblad!E67</f>
        <v>0</v>
      </c>
      <c r="F43" s="200">
        <f t="shared" si="2"/>
        <v>0</v>
      </c>
      <c r="G43" s="58"/>
      <c r="H43" s="60">
        <f>Invulblad!F67</f>
        <v>0</v>
      </c>
      <c r="I43" s="200">
        <f t="shared" si="3"/>
        <v>0</v>
      </c>
      <c r="J43" s="58"/>
      <c r="K43" s="60">
        <f>Invulblad!G67</f>
        <v>0</v>
      </c>
      <c r="L43" s="200">
        <f t="shared" si="4"/>
        <v>0</v>
      </c>
      <c r="M43" s="42"/>
      <c r="N43" s="60">
        <f>Invulblad!H67</f>
        <v>0</v>
      </c>
      <c r="O43" s="200">
        <f t="shared" si="5"/>
        <v>0</v>
      </c>
      <c r="P43" s="42"/>
      <c r="Q43" s="21">
        <v>2.1</v>
      </c>
      <c r="R43" s="60">
        <f>Invulblad!I67</f>
        <v>0</v>
      </c>
      <c r="S43" s="200">
        <f t="shared" si="10"/>
        <v>0</v>
      </c>
      <c r="T43" s="42"/>
    </row>
    <row r="44" spans="2:20" x14ac:dyDescent="0.25">
      <c r="B44" s="24" t="str">
        <f>Invulblad!B68</f>
        <v>Magnesiumchloride, anhydride</v>
      </c>
      <c r="C44" s="10">
        <v>1.379288888888889</v>
      </c>
      <c r="D44" s="40" t="s">
        <v>11</v>
      </c>
      <c r="E44" s="27">
        <f>Invulblad!E68</f>
        <v>0</v>
      </c>
      <c r="F44" s="200">
        <f t="shared" si="2"/>
        <v>0</v>
      </c>
      <c r="G44" s="58"/>
      <c r="H44" s="60">
        <f>Invulblad!F68</f>
        <v>0</v>
      </c>
      <c r="I44" s="200">
        <f t="shared" si="3"/>
        <v>0</v>
      </c>
      <c r="J44" s="58"/>
      <c r="K44" s="60">
        <f>Invulblad!G68</f>
        <v>0</v>
      </c>
      <c r="L44" s="200">
        <f t="shared" si="4"/>
        <v>0</v>
      </c>
      <c r="M44" s="42"/>
      <c r="N44" s="60">
        <f>Invulblad!H68</f>
        <v>0</v>
      </c>
      <c r="O44" s="200">
        <f t="shared" si="5"/>
        <v>0</v>
      </c>
      <c r="P44" s="42"/>
      <c r="Q44" s="21">
        <v>23.6</v>
      </c>
      <c r="R44" s="60">
        <f>Invulblad!I68</f>
        <v>0</v>
      </c>
      <c r="S44" s="200">
        <f t="shared" si="10"/>
        <v>0</v>
      </c>
      <c r="T44" s="42"/>
    </row>
    <row r="45" spans="2:20" x14ac:dyDescent="0.25">
      <c r="B45" s="24" t="str">
        <f>Invulblad!B69</f>
        <v>Magnesiumchloride, hydraat, vaste vorm</v>
      </c>
      <c r="C45" s="10">
        <v>0.19286666666666666</v>
      </c>
      <c r="D45" s="40" t="s">
        <v>11</v>
      </c>
      <c r="E45" s="27">
        <f>Invulblad!E69</f>
        <v>0</v>
      </c>
      <c r="F45" s="200">
        <f t="shared" si="2"/>
        <v>0</v>
      </c>
      <c r="G45" s="58"/>
      <c r="H45" s="60">
        <f>Invulblad!F69</f>
        <v>0</v>
      </c>
      <c r="I45" s="200">
        <f t="shared" si="3"/>
        <v>0</v>
      </c>
      <c r="J45" s="58"/>
      <c r="K45" s="60">
        <f>Invulblad!G69</f>
        <v>0</v>
      </c>
      <c r="L45" s="200">
        <f t="shared" si="4"/>
        <v>0</v>
      </c>
      <c r="M45" s="42"/>
      <c r="N45" s="60">
        <f>Invulblad!H69</f>
        <v>0</v>
      </c>
      <c r="O45" s="200">
        <f t="shared" si="5"/>
        <v>0</v>
      </c>
      <c r="P45" s="42"/>
      <c r="Q45" s="21">
        <v>3.3</v>
      </c>
      <c r="R45" s="60">
        <f>Invulblad!I69</f>
        <v>0</v>
      </c>
      <c r="S45" s="200">
        <f t="shared" si="10"/>
        <v>0</v>
      </c>
      <c r="T45" s="42"/>
    </row>
    <row r="46" spans="2:20" x14ac:dyDescent="0.25">
      <c r="B46" s="24" t="str">
        <f>Invulblad!B70</f>
        <v>Magnesiumoxide</v>
      </c>
      <c r="C46" s="10">
        <v>0.16364444444444443</v>
      </c>
      <c r="D46" s="40" t="s">
        <v>11</v>
      </c>
      <c r="E46" s="27">
        <f>Invulblad!E70</f>
        <v>0</v>
      </c>
      <c r="F46" s="200">
        <f t="shared" si="2"/>
        <v>0</v>
      </c>
      <c r="G46" s="58"/>
      <c r="H46" s="60">
        <f>Invulblad!F70</f>
        <v>0</v>
      </c>
      <c r="I46" s="200">
        <f t="shared" si="3"/>
        <v>0</v>
      </c>
      <c r="J46" s="58"/>
      <c r="K46" s="60">
        <f>Invulblad!G70</f>
        <v>0</v>
      </c>
      <c r="L46" s="200">
        <f t="shared" si="4"/>
        <v>0</v>
      </c>
      <c r="M46" s="42"/>
      <c r="N46" s="60">
        <f>Invulblad!H70</f>
        <v>0</v>
      </c>
      <c r="O46" s="200">
        <f t="shared" si="5"/>
        <v>0</v>
      </c>
      <c r="P46" s="42"/>
      <c r="Q46" s="21">
        <v>2.8</v>
      </c>
      <c r="R46" s="60">
        <f>Invulblad!I70</f>
        <v>0</v>
      </c>
      <c r="S46" s="200">
        <f t="shared" si="10"/>
        <v>0</v>
      </c>
      <c r="T46" s="42"/>
    </row>
    <row r="47" spans="2:20" x14ac:dyDescent="0.25">
      <c r="B47" s="24" t="str">
        <f>Invulblad!B71</f>
        <v>Melasse uit suikerbieten</v>
      </c>
      <c r="C47" s="10">
        <v>0.36235555555555554</v>
      </c>
      <c r="D47" s="40" t="s">
        <v>11</v>
      </c>
      <c r="E47" s="27">
        <f>Invulblad!E71</f>
        <v>0</v>
      </c>
      <c r="F47" s="200">
        <f t="shared" si="2"/>
        <v>0</v>
      </c>
      <c r="G47" s="58"/>
      <c r="H47" s="60">
        <f>Invulblad!F71</f>
        <v>0</v>
      </c>
      <c r="I47" s="200">
        <f t="shared" si="3"/>
        <v>0</v>
      </c>
      <c r="J47" s="58"/>
      <c r="K47" s="60">
        <f>Invulblad!G71</f>
        <v>0</v>
      </c>
      <c r="L47" s="200">
        <f t="shared" si="4"/>
        <v>0</v>
      </c>
      <c r="M47" s="42"/>
      <c r="N47" s="60">
        <f>Invulblad!H71</f>
        <v>0</v>
      </c>
      <c r="O47" s="200">
        <f t="shared" si="5"/>
        <v>0</v>
      </c>
      <c r="P47" s="42"/>
      <c r="Q47" s="21">
        <v>6.2</v>
      </c>
      <c r="R47" s="60">
        <f>Invulblad!I71</f>
        <v>0</v>
      </c>
      <c r="S47" s="200">
        <f t="shared" si="10"/>
        <v>0</v>
      </c>
      <c r="T47" s="42"/>
    </row>
    <row r="48" spans="2:20" x14ac:dyDescent="0.25">
      <c r="B48" s="24" t="str">
        <f>Invulblad!B72</f>
        <v>Methanol</v>
      </c>
      <c r="C48" s="10">
        <v>2.1975111111111114</v>
      </c>
      <c r="D48" s="40" t="s">
        <v>11</v>
      </c>
      <c r="E48" s="27">
        <f>Invulblad!E72</f>
        <v>0</v>
      </c>
      <c r="F48" s="200">
        <f t="shared" si="2"/>
        <v>0</v>
      </c>
      <c r="G48" s="58"/>
      <c r="H48" s="60">
        <f>Invulblad!F72</f>
        <v>0</v>
      </c>
      <c r="I48" s="200">
        <f t="shared" si="3"/>
        <v>0</v>
      </c>
      <c r="J48" s="58"/>
      <c r="K48" s="60">
        <f>Invulblad!G72</f>
        <v>0</v>
      </c>
      <c r="L48" s="200">
        <f t="shared" si="4"/>
        <v>0</v>
      </c>
      <c r="M48" s="42"/>
      <c r="N48" s="60">
        <f>Invulblad!H72</f>
        <v>0</v>
      </c>
      <c r="O48" s="200">
        <f t="shared" si="5"/>
        <v>0</v>
      </c>
      <c r="P48" s="42"/>
      <c r="Q48" s="21">
        <v>37.6</v>
      </c>
      <c r="R48" s="60">
        <f>Invulblad!I72</f>
        <v>0</v>
      </c>
      <c r="S48" s="200">
        <f t="shared" si="10"/>
        <v>0</v>
      </c>
      <c r="T48" s="42"/>
    </row>
    <row r="49" spans="2:20" x14ac:dyDescent="0.25">
      <c r="B49" s="24" t="str">
        <f>Invulblad!B73</f>
        <v xml:space="preserve">Natriumaluminaat oplossing </v>
      </c>
      <c r="C49" s="10">
        <v>0.47304933333333343</v>
      </c>
      <c r="D49" s="40" t="s">
        <v>11</v>
      </c>
      <c r="E49" s="27">
        <f>Invulblad!E73</f>
        <v>0</v>
      </c>
      <c r="F49" s="200">
        <f t="shared" si="2"/>
        <v>0</v>
      </c>
      <c r="G49" s="58"/>
      <c r="H49" s="60">
        <f>Invulblad!F73</f>
        <v>0</v>
      </c>
      <c r="I49" s="200">
        <f t="shared" si="3"/>
        <v>0</v>
      </c>
      <c r="J49" s="58"/>
      <c r="K49" s="60">
        <f>Invulblad!G73</f>
        <v>0</v>
      </c>
      <c r="L49" s="200">
        <f t="shared" si="4"/>
        <v>0</v>
      </c>
      <c r="M49" s="42"/>
      <c r="N49" s="60">
        <f>Invulblad!H73</f>
        <v>0</v>
      </c>
      <c r="O49" s="200">
        <f t="shared" si="5"/>
        <v>0</v>
      </c>
      <c r="P49" s="42"/>
      <c r="Q49" s="21">
        <v>21.3</v>
      </c>
      <c r="R49" s="60">
        <f>Invulblad!I73</f>
        <v>0</v>
      </c>
      <c r="S49" s="200">
        <f t="shared" si="10"/>
        <v>0</v>
      </c>
      <c r="T49" s="42"/>
    </row>
    <row r="50" spans="2:20" x14ac:dyDescent="0.25">
      <c r="B50" s="24" t="str">
        <f>Invulblad!B74</f>
        <v>Natriumchloride (zout), poedervorm</v>
      </c>
      <c r="C50" s="10">
        <v>0.19286666666666666</v>
      </c>
      <c r="D50" s="40" t="s">
        <v>11</v>
      </c>
      <c r="E50" s="27">
        <f>Invulblad!E74</f>
        <v>0</v>
      </c>
      <c r="F50" s="200">
        <f t="shared" si="2"/>
        <v>0</v>
      </c>
      <c r="G50" s="58"/>
      <c r="H50" s="60">
        <f>Invulblad!F74</f>
        <v>0</v>
      </c>
      <c r="I50" s="200">
        <f t="shared" si="3"/>
        <v>0</v>
      </c>
      <c r="J50" s="58"/>
      <c r="K50" s="60">
        <f>Invulblad!G74</f>
        <v>0</v>
      </c>
      <c r="L50" s="200">
        <f t="shared" si="4"/>
        <v>0</v>
      </c>
      <c r="M50" s="42"/>
      <c r="N50" s="60">
        <f>Invulblad!H74</f>
        <v>0</v>
      </c>
      <c r="O50" s="200">
        <f t="shared" si="5"/>
        <v>0</v>
      </c>
      <c r="P50" s="42"/>
      <c r="Q50" s="21">
        <v>3.3</v>
      </c>
      <c r="R50" s="60">
        <f>Invulblad!I74</f>
        <v>0</v>
      </c>
      <c r="S50" s="200">
        <f t="shared" si="10"/>
        <v>0</v>
      </c>
      <c r="T50" s="42"/>
    </row>
    <row r="51" spans="2:20" x14ac:dyDescent="0.25">
      <c r="B51" s="24" t="str">
        <f>Invulblad!B75</f>
        <v>Natriumhypochloriet</v>
      </c>
      <c r="C51" s="10">
        <v>0.15341666666666667</v>
      </c>
      <c r="D51" s="40" t="s">
        <v>11</v>
      </c>
      <c r="E51" s="27">
        <f>Invulblad!E75</f>
        <v>0</v>
      </c>
      <c r="F51" s="200">
        <f t="shared" si="2"/>
        <v>0</v>
      </c>
      <c r="G51" s="58"/>
      <c r="H51" s="60">
        <f>Invulblad!F75</f>
        <v>0</v>
      </c>
      <c r="I51" s="200">
        <f t="shared" si="3"/>
        <v>0</v>
      </c>
      <c r="J51" s="58"/>
      <c r="K51" s="60">
        <f>Invulblad!G75</f>
        <v>0</v>
      </c>
      <c r="L51" s="200">
        <f t="shared" si="4"/>
        <v>0</v>
      </c>
      <c r="M51" s="42"/>
      <c r="N51" s="60">
        <f>Invulblad!H75</f>
        <v>0</v>
      </c>
      <c r="O51" s="200">
        <f t="shared" si="5"/>
        <v>0</v>
      </c>
      <c r="P51" s="42"/>
      <c r="Q51" s="21">
        <v>17.5</v>
      </c>
      <c r="R51" s="60">
        <f>Invulblad!I75</f>
        <v>0</v>
      </c>
      <c r="S51" s="200">
        <f t="shared" si="10"/>
        <v>0</v>
      </c>
      <c r="T51" s="42"/>
    </row>
    <row r="52" spans="2:20" x14ac:dyDescent="0.25">
      <c r="B52" s="24" t="str">
        <f>Invulblad!B76</f>
        <v>Natronloog kwikcelproces</v>
      </c>
      <c r="C52" s="10">
        <v>0.65749999999999997</v>
      </c>
      <c r="D52" s="40" t="s">
        <v>11</v>
      </c>
      <c r="E52" s="27">
        <f>Invulblad!E76</f>
        <v>0</v>
      </c>
      <c r="F52" s="200">
        <f t="shared" si="2"/>
        <v>0</v>
      </c>
      <c r="G52" s="58"/>
      <c r="H52" s="60">
        <f>Invulblad!F76</f>
        <v>0</v>
      </c>
      <c r="I52" s="200">
        <f t="shared" si="3"/>
        <v>0</v>
      </c>
      <c r="J52" s="58"/>
      <c r="K52" s="60">
        <f>Invulblad!G76</f>
        <v>0</v>
      </c>
      <c r="L52" s="200">
        <f t="shared" si="4"/>
        <v>0</v>
      </c>
      <c r="M52" s="42"/>
      <c r="N52" s="60">
        <f>Invulblad!H76</f>
        <v>0</v>
      </c>
      <c r="O52" s="200">
        <f t="shared" si="5"/>
        <v>0</v>
      </c>
      <c r="P52" s="42"/>
      <c r="Q52" s="21">
        <v>22.5</v>
      </c>
      <c r="R52" s="60">
        <f>Invulblad!I76</f>
        <v>0</v>
      </c>
      <c r="S52" s="200">
        <f t="shared" si="10"/>
        <v>0</v>
      </c>
      <c r="T52" s="42"/>
    </row>
    <row r="53" spans="2:20" x14ac:dyDescent="0.25">
      <c r="B53" s="24" t="str">
        <f>Invulblad!B77</f>
        <v>Natronloog, membraanproces</v>
      </c>
      <c r="C53" s="10">
        <v>0.60489999999999999</v>
      </c>
      <c r="D53" s="40" t="s">
        <v>11</v>
      </c>
      <c r="E53" s="27">
        <f>Invulblad!E77</f>
        <v>0</v>
      </c>
      <c r="F53" s="200">
        <f t="shared" si="2"/>
        <v>0</v>
      </c>
      <c r="G53" s="58"/>
      <c r="H53" s="60">
        <f>Invulblad!F77</f>
        <v>0</v>
      </c>
      <c r="I53" s="200">
        <f t="shared" si="3"/>
        <v>0</v>
      </c>
      <c r="J53" s="58"/>
      <c r="K53" s="60">
        <f>Invulblad!G77</f>
        <v>0</v>
      </c>
      <c r="L53" s="200">
        <f t="shared" si="4"/>
        <v>0</v>
      </c>
      <c r="M53" s="42"/>
      <c r="N53" s="60">
        <f>Invulblad!H77</f>
        <v>0</v>
      </c>
      <c r="O53" s="200">
        <f t="shared" si="5"/>
        <v>0</v>
      </c>
      <c r="P53" s="42"/>
      <c r="Q53" s="21">
        <v>20.7</v>
      </c>
      <c r="R53" s="60">
        <f>Invulblad!I77</f>
        <v>0</v>
      </c>
      <c r="S53" s="200">
        <f t="shared" si="10"/>
        <v>0</v>
      </c>
      <c r="T53" s="42"/>
    </row>
    <row r="54" spans="2:20" x14ac:dyDescent="0.25">
      <c r="B54" s="24" t="str">
        <f>Invulblad!B78</f>
        <v>Natronloog, productiemix</v>
      </c>
      <c r="C54" s="10">
        <v>0.66626666666666667</v>
      </c>
      <c r="D54" s="40" t="s">
        <v>11</v>
      </c>
      <c r="E54" s="27">
        <f>Invulblad!E78</f>
        <v>0</v>
      </c>
      <c r="F54" s="200">
        <f t="shared" si="2"/>
        <v>0</v>
      </c>
      <c r="G54" s="58"/>
      <c r="H54" s="60">
        <f>Invulblad!F78</f>
        <v>0</v>
      </c>
      <c r="I54" s="200">
        <f t="shared" si="3"/>
        <v>0</v>
      </c>
      <c r="J54" s="58"/>
      <c r="K54" s="60">
        <f>Invulblad!G78</f>
        <v>0</v>
      </c>
      <c r="L54" s="200">
        <f t="shared" si="4"/>
        <v>0</v>
      </c>
      <c r="M54" s="42"/>
      <c r="N54" s="60">
        <f>Invulblad!H78</f>
        <v>0</v>
      </c>
      <c r="O54" s="200">
        <f t="shared" si="5"/>
        <v>0</v>
      </c>
      <c r="P54" s="42"/>
      <c r="Q54" s="21">
        <v>22.8</v>
      </c>
      <c r="R54" s="60">
        <f>Invulblad!I78</f>
        <v>0</v>
      </c>
      <c r="S54" s="200">
        <f t="shared" si="10"/>
        <v>0</v>
      </c>
      <c r="T54" s="42"/>
    </row>
    <row r="55" spans="2:20" x14ac:dyDescent="0.25">
      <c r="B55" s="24" t="str">
        <f>Invulblad!B79</f>
        <v>Polymeer, anionisch</v>
      </c>
      <c r="C55" s="10">
        <v>4.4768444444444437</v>
      </c>
      <c r="D55" s="40" t="s">
        <v>11</v>
      </c>
      <c r="E55" s="27">
        <f>Invulblad!E79</f>
        <v>0</v>
      </c>
      <c r="F55" s="200">
        <f t="shared" si="2"/>
        <v>0</v>
      </c>
      <c r="G55" s="58"/>
      <c r="H55" s="60">
        <f>Invulblad!F79</f>
        <v>0</v>
      </c>
      <c r="I55" s="200">
        <f t="shared" si="3"/>
        <v>0</v>
      </c>
      <c r="J55" s="58"/>
      <c r="K55" s="60">
        <f>Invulblad!G79</f>
        <v>0</v>
      </c>
      <c r="L55" s="200">
        <f t="shared" si="4"/>
        <v>0</v>
      </c>
      <c r="M55" s="42"/>
      <c r="N55" s="60">
        <f>Invulblad!H79</f>
        <v>0</v>
      </c>
      <c r="O55" s="200">
        <f t="shared" si="5"/>
        <v>0</v>
      </c>
      <c r="P55" s="42"/>
      <c r="Q55" s="21">
        <v>76.599999999999994</v>
      </c>
      <c r="R55" s="60">
        <f>Invulblad!I79</f>
        <v>0</v>
      </c>
      <c r="S55" s="200">
        <f t="shared" si="10"/>
        <v>0</v>
      </c>
      <c r="T55" s="42"/>
    </row>
    <row r="56" spans="2:20" x14ac:dyDescent="0.25">
      <c r="B56" s="24" t="str">
        <f>Invulblad!B80</f>
        <v>Polymeer, anionisch, vloeibaar</v>
      </c>
      <c r="C56" s="10">
        <v>3.6352444444444445</v>
      </c>
      <c r="D56" s="40" t="s">
        <v>11</v>
      </c>
      <c r="E56" s="27">
        <f>Invulblad!E80</f>
        <v>0</v>
      </c>
      <c r="F56" s="200">
        <f t="shared" si="2"/>
        <v>0</v>
      </c>
      <c r="G56" s="58"/>
      <c r="H56" s="60">
        <f>Invulblad!F80</f>
        <v>0</v>
      </c>
      <c r="I56" s="200">
        <f t="shared" si="3"/>
        <v>0</v>
      </c>
      <c r="J56" s="58"/>
      <c r="K56" s="60">
        <f>Invulblad!G80</f>
        <v>0</v>
      </c>
      <c r="L56" s="200">
        <f t="shared" si="4"/>
        <v>0</v>
      </c>
      <c r="M56" s="42"/>
      <c r="N56" s="60">
        <f>Invulblad!H80</f>
        <v>0</v>
      </c>
      <c r="O56" s="200">
        <f t="shared" si="5"/>
        <v>0</v>
      </c>
      <c r="P56" s="42"/>
      <c r="Q56" s="21">
        <v>62.2</v>
      </c>
      <c r="R56" s="60">
        <f>Invulblad!I80</f>
        <v>0</v>
      </c>
      <c r="S56" s="200">
        <f t="shared" si="10"/>
        <v>0</v>
      </c>
      <c r="T56" s="42"/>
    </row>
    <row r="57" spans="2:20" x14ac:dyDescent="0.25">
      <c r="B57" s="24" t="str">
        <f>Invulblad!B81</f>
        <v xml:space="preserve">Polymeer, kationisch, poeder </v>
      </c>
      <c r="C57" s="10">
        <v>5.0028444444444444</v>
      </c>
      <c r="D57" s="40" t="s">
        <v>11</v>
      </c>
      <c r="E57" s="27">
        <f>Invulblad!E81</f>
        <v>0</v>
      </c>
      <c r="F57" s="200">
        <f t="shared" si="2"/>
        <v>0</v>
      </c>
      <c r="G57" s="58"/>
      <c r="H57" s="60">
        <f>Invulblad!F81</f>
        <v>0</v>
      </c>
      <c r="I57" s="200">
        <f t="shared" si="3"/>
        <v>0</v>
      </c>
      <c r="J57" s="58"/>
      <c r="K57" s="60">
        <f>Invulblad!G81</f>
        <v>0</v>
      </c>
      <c r="L57" s="200">
        <f t="shared" si="4"/>
        <v>0</v>
      </c>
      <c r="M57" s="42"/>
      <c r="N57" s="60">
        <f>Invulblad!H81</f>
        <v>0</v>
      </c>
      <c r="O57" s="200">
        <f t="shared" si="5"/>
        <v>0</v>
      </c>
      <c r="P57" s="42"/>
      <c r="Q57" s="21">
        <v>85.6</v>
      </c>
      <c r="R57" s="60">
        <f>Invulblad!I81</f>
        <v>0</v>
      </c>
      <c r="S57" s="200">
        <f t="shared" si="10"/>
        <v>0</v>
      </c>
      <c r="T57" s="42"/>
    </row>
    <row r="58" spans="2:20" x14ac:dyDescent="0.25">
      <c r="B58" s="24" t="str">
        <f>Invulblad!B82</f>
        <v>Polymeer, kationisch, vloeibaar</v>
      </c>
      <c r="C58" s="10">
        <v>3.8982444444444448</v>
      </c>
      <c r="D58" s="40" t="s">
        <v>11</v>
      </c>
      <c r="E58" s="27">
        <f>Invulblad!E82</f>
        <v>23167.8</v>
      </c>
      <c r="F58" s="200">
        <f t="shared" si="2"/>
        <v>90.313747640000003</v>
      </c>
      <c r="G58" s="58"/>
      <c r="H58" s="60">
        <f>Invulblad!F82</f>
        <v>22083.077471999997</v>
      </c>
      <c r="I58" s="200">
        <f t="shared" si="3"/>
        <v>86.085234071460263</v>
      </c>
      <c r="J58" s="58"/>
      <c r="K58" s="60">
        <f>Invulblad!G82</f>
        <v>23167.8</v>
      </c>
      <c r="L58" s="200">
        <f t="shared" si="4"/>
        <v>90.313747640000003</v>
      </c>
      <c r="M58" s="42"/>
      <c r="N58" s="60">
        <f>Invulblad!H82</f>
        <v>23167.8</v>
      </c>
      <c r="O58" s="200">
        <f t="shared" si="5"/>
        <v>90.313747640000003</v>
      </c>
      <c r="P58" s="42"/>
      <c r="Q58" s="21">
        <v>66.7</v>
      </c>
      <c r="R58" s="60">
        <f>Invulblad!I82</f>
        <v>23167.8</v>
      </c>
      <c r="S58" s="200">
        <f t="shared" si="10"/>
        <v>90.313747640000003</v>
      </c>
      <c r="T58" s="42"/>
    </row>
    <row r="59" spans="2:20" x14ac:dyDescent="0.25">
      <c r="B59" s="24" t="str">
        <f>Invulblad!B83</f>
        <v>Polyaluminiumchloride</v>
      </c>
      <c r="C59" s="10">
        <v>1.1338222222222221</v>
      </c>
      <c r="D59" s="40" t="s">
        <v>11</v>
      </c>
      <c r="E59" s="27">
        <f>Invulblad!E83</f>
        <v>3200</v>
      </c>
      <c r="F59" s="200">
        <f t="shared" si="2"/>
        <v>3.628231111111111</v>
      </c>
      <c r="G59" s="58"/>
      <c r="H59" s="60">
        <f>Invulblad!F83</f>
        <v>3200</v>
      </c>
      <c r="I59" s="200">
        <f t="shared" si="3"/>
        <v>3.628231111111111</v>
      </c>
      <c r="J59" s="58"/>
      <c r="K59" s="60">
        <f>Invulblad!G83</f>
        <v>3200</v>
      </c>
      <c r="L59" s="200">
        <f t="shared" si="4"/>
        <v>3.628231111111111</v>
      </c>
      <c r="M59" s="42"/>
      <c r="N59" s="60">
        <f>Invulblad!H83</f>
        <v>3200</v>
      </c>
      <c r="O59" s="200">
        <f t="shared" si="5"/>
        <v>3.628231111111111</v>
      </c>
      <c r="P59" s="42"/>
      <c r="Q59" s="21">
        <v>19.399999999999999</v>
      </c>
      <c r="R59" s="60">
        <f>Invulblad!I83</f>
        <v>3200</v>
      </c>
      <c r="S59" s="200">
        <f>R59*C59/1000</f>
        <v>3.628231111111111</v>
      </c>
      <c r="T59" s="42"/>
    </row>
    <row r="60" spans="2:20" x14ac:dyDescent="0.25">
      <c r="B60" s="24" t="str">
        <f>Invulblad!B84</f>
        <v>Polyaluminiumsulfaat, poeder</v>
      </c>
      <c r="C60" s="10">
        <v>1.0110888888888889</v>
      </c>
      <c r="D60" s="40" t="s">
        <v>11</v>
      </c>
      <c r="E60" s="27">
        <f>Invulblad!E84</f>
        <v>0</v>
      </c>
      <c r="F60" s="200">
        <f t="shared" si="2"/>
        <v>0</v>
      </c>
      <c r="G60" s="58"/>
      <c r="H60" s="60">
        <f>Invulblad!F84</f>
        <v>0</v>
      </c>
      <c r="I60" s="200">
        <f t="shared" si="3"/>
        <v>0</v>
      </c>
      <c r="J60" s="58"/>
      <c r="K60" s="60">
        <f>Invulblad!G84</f>
        <v>0</v>
      </c>
      <c r="L60" s="200">
        <f t="shared" si="4"/>
        <v>0</v>
      </c>
      <c r="M60" s="42"/>
      <c r="N60" s="60">
        <f>Invulblad!H84</f>
        <v>0</v>
      </c>
      <c r="O60" s="200">
        <f t="shared" si="5"/>
        <v>0</v>
      </c>
      <c r="P60" s="42"/>
      <c r="Q60" s="21">
        <v>17.3</v>
      </c>
      <c r="R60" s="60">
        <f>Invulblad!I84</f>
        <v>0</v>
      </c>
      <c r="S60" s="200">
        <f t="shared" si="10"/>
        <v>0</v>
      </c>
      <c r="T60" s="42"/>
    </row>
    <row r="61" spans="2:20" x14ac:dyDescent="0.25">
      <c r="B61" s="189" t="s">
        <v>221</v>
      </c>
      <c r="C61" s="10">
        <v>1.2094725</v>
      </c>
      <c r="D61" s="190" t="s">
        <v>11</v>
      </c>
      <c r="E61" s="27">
        <f>Invulblad!E85</f>
        <v>0</v>
      </c>
      <c r="F61" s="200">
        <f t="shared" ref="F61" si="15">C61*E61/1000</f>
        <v>0</v>
      </c>
      <c r="G61" s="58"/>
      <c r="H61" s="60">
        <f>Invulblad!F85</f>
        <v>0</v>
      </c>
      <c r="I61" s="200">
        <f t="shared" ref="I61" si="16">H61*C61/1000</f>
        <v>0</v>
      </c>
      <c r="J61" s="58"/>
      <c r="K61" s="60">
        <f>Invulblad!G85</f>
        <v>0</v>
      </c>
      <c r="L61" s="200">
        <f t="shared" ref="L61" si="17">K61*C61/1000</f>
        <v>0</v>
      </c>
      <c r="M61" s="42"/>
      <c r="N61" s="60">
        <f>Invulblad!H85</f>
        <v>0</v>
      </c>
      <c r="O61" s="200">
        <f t="shared" ref="O61" si="18">N61*C61/1000</f>
        <v>0</v>
      </c>
      <c r="P61" s="42"/>
      <c r="Q61" s="21">
        <v>18.3</v>
      </c>
      <c r="R61" s="60">
        <f>Invulblad!I85</f>
        <v>0</v>
      </c>
      <c r="S61" s="200">
        <f t="shared" ref="S61" si="19">R61*C61/1000</f>
        <v>0</v>
      </c>
      <c r="T61" s="42"/>
    </row>
    <row r="62" spans="2:20" x14ac:dyDescent="0.25">
      <c r="B62" s="24" t="str">
        <f>Invulblad!B86</f>
        <v>Zoutzuur, reactie propyleen en chloor</v>
      </c>
      <c r="C62" s="10">
        <v>5.0495999999999999E-2</v>
      </c>
      <c r="D62" s="40" t="s">
        <v>11</v>
      </c>
      <c r="E62" s="27">
        <f>Invulblad!E86</f>
        <v>0</v>
      </c>
      <c r="F62" s="200">
        <f t="shared" si="2"/>
        <v>0</v>
      </c>
      <c r="G62" s="58"/>
      <c r="H62" s="60">
        <f>Invulblad!F86</f>
        <v>0</v>
      </c>
      <c r="I62" s="200">
        <f t="shared" si="3"/>
        <v>0</v>
      </c>
      <c r="J62" s="58"/>
      <c r="K62" s="60">
        <f>Invulblad!G86</f>
        <v>0</v>
      </c>
      <c r="L62" s="200">
        <f t="shared" si="4"/>
        <v>0</v>
      </c>
      <c r="M62" s="42"/>
      <c r="N62" s="60">
        <f>Invulblad!H86</f>
        <v>0</v>
      </c>
      <c r="O62" s="200">
        <f t="shared" si="5"/>
        <v>0</v>
      </c>
      <c r="P62" s="42"/>
      <c r="Q62" s="21">
        <v>2.4</v>
      </c>
      <c r="R62" s="60">
        <f>Invulblad!I86</f>
        <v>0</v>
      </c>
      <c r="S62" s="200">
        <f t="shared" si="10"/>
        <v>0</v>
      </c>
      <c r="T62" s="42"/>
    </row>
    <row r="63" spans="2:20" x14ac:dyDescent="0.25">
      <c r="B63" s="24" t="str">
        <f>Invulblad!B87</f>
        <v>Zoutzuur uit de reactie van waterstof en chloor</v>
      </c>
      <c r="C63" s="10">
        <v>1.6364444444444444</v>
      </c>
      <c r="D63" s="40" t="s">
        <v>11</v>
      </c>
      <c r="E63" s="27">
        <f>Invulblad!E87</f>
        <v>0</v>
      </c>
      <c r="F63" s="200">
        <f t="shared" si="2"/>
        <v>0</v>
      </c>
      <c r="G63" s="58"/>
      <c r="H63" s="60">
        <f>Invulblad!F87</f>
        <v>0</v>
      </c>
      <c r="I63" s="200">
        <f t="shared" si="3"/>
        <v>0</v>
      </c>
      <c r="J63" s="58"/>
      <c r="K63" s="60">
        <f>Invulblad!G87</f>
        <v>0</v>
      </c>
      <c r="L63" s="200">
        <f t="shared" si="4"/>
        <v>0</v>
      </c>
      <c r="M63" s="42"/>
      <c r="N63" s="60">
        <f>Invulblad!H87</f>
        <v>0</v>
      </c>
      <c r="O63" s="200">
        <f t="shared" si="5"/>
        <v>0</v>
      </c>
      <c r="P63" s="42"/>
      <c r="Q63" s="21">
        <v>28</v>
      </c>
      <c r="R63" s="60">
        <f>Invulblad!I87</f>
        <v>0</v>
      </c>
      <c r="S63" s="200">
        <f t="shared" si="10"/>
        <v>0</v>
      </c>
      <c r="T63" s="42"/>
    </row>
    <row r="64" spans="2:20" x14ac:dyDescent="0.25">
      <c r="B64" s="24" t="str">
        <f>Invulblad!B88</f>
        <v>Zoutzuur uit het Mannheim proces</v>
      </c>
      <c r="C64" s="10">
        <v>0.40911111111111109</v>
      </c>
      <c r="D64" s="40" t="s">
        <v>11</v>
      </c>
      <c r="E64" s="27">
        <f>Invulblad!E88</f>
        <v>0</v>
      </c>
      <c r="F64" s="200">
        <f t="shared" si="2"/>
        <v>0</v>
      </c>
      <c r="G64" s="58"/>
      <c r="H64" s="60">
        <f>Invulblad!F88</f>
        <v>0</v>
      </c>
      <c r="I64" s="200">
        <f t="shared" si="3"/>
        <v>0</v>
      </c>
      <c r="J64" s="58"/>
      <c r="K64" s="60">
        <f>Invulblad!G88</f>
        <v>0</v>
      </c>
      <c r="L64" s="200">
        <f t="shared" si="4"/>
        <v>0</v>
      </c>
      <c r="M64" s="42"/>
      <c r="N64" s="60">
        <f>Invulblad!H88</f>
        <v>0</v>
      </c>
      <c r="O64" s="200">
        <f t="shared" si="5"/>
        <v>0</v>
      </c>
      <c r="P64" s="42"/>
      <c r="Q64" s="21">
        <v>7</v>
      </c>
      <c r="R64" s="60">
        <f>Invulblad!I88</f>
        <v>0</v>
      </c>
      <c r="S64" s="200">
        <f t="shared" si="10"/>
        <v>0</v>
      </c>
      <c r="T64" s="42"/>
    </row>
    <row r="65" spans="1:20" x14ac:dyDescent="0.25">
      <c r="B65" s="24" t="str">
        <f>Invulblad!B89</f>
        <v>Zuurstof (vloeibaar)</v>
      </c>
      <c r="C65" s="10">
        <v>0.42</v>
      </c>
      <c r="D65" s="40" t="s">
        <v>11</v>
      </c>
      <c r="E65" s="27">
        <f>Invulblad!E89</f>
        <v>0</v>
      </c>
      <c r="F65" s="200">
        <f t="shared" si="2"/>
        <v>0</v>
      </c>
      <c r="G65" s="58"/>
      <c r="H65" s="60">
        <f>Invulblad!F89</f>
        <v>0</v>
      </c>
      <c r="I65" s="200">
        <f t="shared" si="3"/>
        <v>0</v>
      </c>
      <c r="J65" s="58"/>
      <c r="K65" s="60">
        <f>Invulblad!G89</f>
        <v>445336.5</v>
      </c>
      <c r="L65" s="200">
        <f t="shared" si="4"/>
        <v>187.04132999999999</v>
      </c>
      <c r="M65" s="42"/>
      <c r="N65" s="60">
        <f>Invulblad!H89</f>
        <v>0</v>
      </c>
      <c r="O65" s="200">
        <f t="shared" si="5"/>
        <v>0</v>
      </c>
      <c r="P65" s="42"/>
      <c r="Q65" s="21">
        <v>8.8000000000000007</v>
      </c>
      <c r="R65" s="60">
        <f>Invulblad!I89</f>
        <v>0</v>
      </c>
      <c r="S65" s="200">
        <f t="shared" si="10"/>
        <v>0</v>
      </c>
      <c r="T65" s="42"/>
    </row>
    <row r="66" spans="1:20" x14ac:dyDescent="0.25">
      <c r="B66" s="24" t="str">
        <f>Invulblad!B90</f>
        <v>Zwavelzuur, vloeibaar</v>
      </c>
      <c r="C66" s="10">
        <v>0.12273333333333333</v>
      </c>
      <c r="D66" s="40" t="s">
        <v>11</v>
      </c>
      <c r="E66" s="27">
        <f>Invulblad!E90</f>
        <v>0</v>
      </c>
      <c r="F66" s="200">
        <f t="shared" si="2"/>
        <v>0</v>
      </c>
      <c r="G66" s="58"/>
      <c r="H66" s="60">
        <f>Invulblad!F90</f>
        <v>0</v>
      </c>
      <c r="I66" s="200">
        <f t="shared" si="3"/>
        <v>0</v>
      </c>
      <c r="J66" s="58"/>
      <c r="K66" s="60">
        <f>Invulblad!G90</f>
        <v>0</v>
      </c>
      <c r="L66" s="200">
        <f t="shared" si="4"/>
        <v>0</v>
      </c>
      <c r="M66" s="42"/>
      <c r="N66" s="60">
        <f>Invulblad!H90</f>
        <v>0</v>
      </c>
      <c r="O66" s="200">
        <f t="shared" si="5"/>
        <v>0</v>
      </c>
      <c r="P66" s="42"/>
      <c r="Q66" s="21">
        <v>2.1</v>
      </c>
      <c r="R66" s="60">
        <f>Invulblad!I90</f>
        <v>0</v>
      </c>
      <c r="S66" s="200">
        <f t="shared" si="10"/>
        <v>0</v>
      </c>
      <c r="T66" s="42"/>
    </row>
    <row r="67" spans="1:20" x14ac:dyDescent="0.25">
      <c r="B67" s="24"/>
      <c r="C67" s="10"/>
      <c r="D67" s="21"/>
      <c r="E67" s="27"/>
      <c r="F67" s="200"/>
      <c r="G67" s="58"/>
      <c r="H67" s="60"/>
      <c r="I67" s="200"/>
      <c r="J67" s="58"/>
      <c r="K67" s="60"/>
      <c r="L67" s="200"/>
      <c r="M67" s="42"/>
      <c r="N67" s="60"/>
      <c r="O67" s="200"/>
      <c r="P67" s="42"/>
      <c r="R67" s="60"/>
      <c r="S67" s="200"/>
      <c r="T67" s="42"/>
    </row>
    <row r="68" spans="1:20" ht="15.6" x14ac:dyDescent="0.3">
      <c r="B68" s="25" t="str">
        <f>Invulblad!B92</f>
        <v xml:space="preserve">Materialen </v>
      </c>
      <c r="C68" s="10"/>
      <c r="D68" s="21"/>
      <c r="E68" s="27"/>
      <c r="F68" s="201">
        <f>F69</f>
        <v>16.846666666666668</v>
      </c>
      <c r="G68" s="62"/>
      <c r="H68" s="60"/>
      <c r="I68" s="201">
        <f>I69</f>
        <v>16.868833333333331</v>
      </c>
      <c r="J68" s="62"/>
      <c r="K68" s="60"/>
      <c r="L68" s="201">
        <f>L69</f>
        <v>17.954999999999998</v>
      </c>
      <c r="M68" s="42"/>
      <c r="N68" s="60"/>
      <c r="O68" s="201">
        <f>O69</f>
        <v>17.866333333333333</v>
      </c>
      <c r="P68" s="42"/>
      <c r="R68" s="60">
        <f>Invulblad!I92</f>
        <v>0</v>
      </c>
      <c r="S68" s="201">
        <f>S69</f>
        <v>16.846666666666668</v>
      </c>
      <c r="T68" s="42"/>
    </row>
    <row r="69" spans="1:20" ht="15.6" x14ac:dyDescent="0.3">
      <c r="B69" s="24" t="str">
        <f>Invulblad!B93</f>
        <v>Gewapend beton</v>
      </c>
      <c r="C69" s="10">
        <v>133</v>
      </c>
      <c r="D69" s="40" t="s">
        <v>7</v>
      </c>
      <c r="E69" s="27">
        <f>Invulblad!E93</f>
        <v>3800</v>
      </c>
      <c r="F69" s="200">
        <f>(C69*E69/Invulblad!E94)/1000</f>
        <v>16.846666666666668</v>
      </c>
      <c r="G69" s="58"/>
      <c r="H69" s="60">
        <f>Invulblad!F93</f>
        <v>3805</v>
      </c>
      <c r="I69" s="200">
        <f>(C69*H69/Invulblad!F94)/1000</f>
        <v>16.868833333333331</v>
      </c>
      <c r="J69" s="58"/>
      <c r="K69" s="60">
        <f>Invulblad!G93</f>
        <v>4050</v>
      </c>
      <c r="L69" s="200">
        <f>(C69*K69/Invulblad!G94)/1000</f>
        <v>17.954999999999998</v>
      </c>
      <c r="M69" s="48"/>
      <c r="N69" s="60">
        <f>Invulblad!H93</f>
        <v>4030</v>
      </c>
      <c r="O69" s="200">
        <f>(C69*N69/Invulblad!H94)/1000</f>
        <v>17.866333333333333</v>
      </c>
      <c r="P69" s="48"/>
      <c r="R69" s="60">
        <f>Invulblad!I93</f>
        <v>3800</v>
      </c>
      <c r="S69" s="200">
        <f>(C69*R69/Invulblad!I94)/1000</f>
        <v>16.846666666666668</v>
      </c>
      <c r="T69" s="48"/>
    </row>
    <row r="70" spans="1:20" x14ac:dyDescent="0.25">
      <c r="B70" s="24"/>
      <c r="C70" s="10"/>
      <c r="D70" s="40"/>
      <c r="E70" s="27"/>
      <c r="F70" s="200"/>
      <c r="G70" s="58"/>
      <c r="H70" s="60"/>
      <c r="I70" s="200"/>
      <c r="J70" s="58"/>
      <c r="K70" s="60"/>
      <c r="L70" s="200"/>
      <c r="M70" s="42"/>
      <c r="N70" s="60"/>
      <c r="O70" s="200"/>
      <c r="P70" s="42"/>
      <c r="R70" s="60">
        <f>Invulblad!I94</f>
        <v>30</v>
      </c>
      <c r="S70" s="200"/>
      <c r="T70" s="42"/>
    </row>
    <row r="71" spans="1:20" ht="15.6" x14ac:dyDescent="0.3">
      <c r="B71" s="25" t="s">
        <v>213</v>
      </c>
      <c r="C71" s="215"/>
      <c r="D71" s="23"/>
      <c r="E71" s="33"/>
      <c r="F71" s="201">
        <f>SUM(F72:F74)</f>
        <v>385.57151111111114</v>
      </c>
      <c r="G71" s="62"/>
      <c r="H71" s="60"/>
      <c r="I71" s="201">
        <f>SUM(I72:I74)</f>
        <v>391.3854238311111</v>
      </c>
      <c r="J71" s="62"/>
      <c r="K71" s="60"/>
      <c r="L71" s="201">
        <f>SUM(L72:L74)</f>
        <v>385.57151111111114</v>
      </c>
      <c r="M71" s="42"/>
      <c r="N71" s="60"/>
      <c r="O71" s="201">
        <f>SUM(O72:O74)</f>
        <v>385.57151111111114</v>
      </c>
      <c r="P71" s="42"/>
      <c r="R71" s="60"/>
      <c r="S71" s="201">
        <f>SUM(S72:S74)</f>
        <v>385.57151111111114</v>
      </c>
      <c r="T71" s="42"/>
    </row>
    <row r="72" spans="1:20" x14ac:dyDescent="0.25">
      <c r="B72" s="24" t="s">
        <v>107</v>
      </c>
      <c r="C72" s="10">
        <v>0.05</v>
      </c>
      <c r="D72" s="83" t="s">
        <v>11</v>
      </c>
      <c r="E72" s="27">
        <f>Invulblad!E21*1000</f>
        <v>6100000</v>
      </c>
      <c r="F72" s="200">
        <f>C72*E72/1000</f>
        <v>305</v>
      </c>
      <c r="G72" s="58"/>
      <c r="H72" s="60">
        <f>Invulblad!F21*1000</f>
        <v>6191980</v>
      </c>
      <c r="I72" s="200">
        <f>H72*C72/1000</f>
        <v>309.59899999999999</v>
      </c>
      <c r="J72" s="58"/>
      <c r="K72" s="60">
        <f>Invulblad!G21*1000</f>
        <v>6100000</v>
      </c>
      <c r="L72" s="200">
        <f>K72*C72/1000</f>
        <v>305</v>
      </c>
      <c r="M72" s="42"/>
      <c r="N72" s="60">
        <f>Invulblad!H21*1000</f>
        <v>6100000</v>
      </c>
      <c r="O72" s="200">
        <f>N72*C72/1000</f>
        <v>305</v>
      </c>
      <c r="P72" s="42"/>
      <c r="R72" s="60">
        <f>Invulblad!I21*1000</f>
        <v>6100000</v>
      </c>
      <c r="S72" s="200">
        <f>R72*C72/1000</f>
        <v>305</v>
      </c>
      <c r="T72" s="42"/>
    </row>
    <row r="73" spans="1:20" x14ac:dyDescent="0.25">
      <c r="A73"/>
      <c r="B73" s="37" t="s">
        <v>134</v>
      </c>
      <c r="C73" s="36">
        <v>0.13208444444444442</v>
      </c>
      <c r="D73" s="41" t="s">
        <v>137</v>
      </c>
      <c r="E73" s="84">
        <f>Invulblad!E25*Invulblad!E26</f>
        <v>0</v>
      </c>
      <c r="F73" s="200">
        <f>C73*E73/1000</f>
        <v>0</v>
      </c>
      <c r="G73" s="63"/>
      <c r="H73" s="64">
        <f>Invulblad!F25*Invulblad!F26</f>
        <v>0</v>
      </c>
      <c r="I73" s="200">
        <f>H73*C73/1000</f>
        <v>0</v>
      </c>
      <c r="J73" s="63"/>
      <c r="K73" s="64">
        <f>Invulblad!G25*Invulblad!G26</f>
        <v>0</v>
      </c>
      <c r="L73" s="200">
        <f>K73*C73/1000</f>
        <v>0</v>
      </c>
      <c r="M73" s="42"/>
      <c r="N73" s="64">
        <f>Invulblad!H25*Invulblad!H26</f>
        <v>0</v>
      </c>
      <c r="O73" s="200">
        <f>N73*C73/1000</f>
        <v>0</v>
      </c>
      <c r="P73" s="42"/>
      <c r="R73" s="60">
        <f>Invulblad!I25*Invulblad!I26</f>
        <v>0</v>
      </c>
      <c r="S73" s="200">
        <f>R73*C73/1000</f>
        <v>0</v>
      </c>
      <c r="T73" s="42"/>
    </row>
    <row r="74" spans="1:20" x14ac:dyDescent="0.25">
      <c r="A74"/>
      <c r="B74" s="37" t="s">
        <v>135</v>
      </c>
      <c r="C74" s="36">
        <v>0.13208444444444442</v>
      </c>
      <c r="D74" s="36" t="s">
        <v>137</v>
      </c>
      <c r="E74" s="84">
        <f>Invulblad!E27*Invulblad!E28</f>
        <v>610000</v>
      </c>
      <c r="F74" s="200">
        <f>C74*E74/1000</f>
        <v>80.571511111111107</v>
      </c>
      <c r="G74" s="63"/>
      <c r="H74" s="64">
        <f>Invulblad!F27*Invulblad!F28</f>
        <v>619198</v>
      </c>
      <c r="I74" s="200">
        <f>H74*C74/1000</f>
        <v>81.786423831111094</v>
      </c>
      <c r="J74" s="63"/>
      <c r="K74" s="64">
        <f>Invulblad!G27*Invulblad!G28</f>
        <v>610000</v>
      </c>
      <c r="L74" s="200">
        <f>K74*C74/1000</f>
        <v>80.571511111111107</v>
      </c>
      <c r="M74" s="42"/>
      <c r="N74" s="64">
        <f>Invulblad!H27*Invulblad!H28</f>
        <v>610000</v>
      </c>
      <c r="O74" s="200">
        <f>N74*C74/1000</f>
        <v>80.571511111111107</v>
      </c>
      <c r="P74" s="42"/>
      <c r="R74" s="60">
        <f>Invulblad!I27*Invulblad!I28</f>
        <v>610000</v>
      </c>
      <c r="S74" s="200">
        <f>R74*C74/1000</f>
        <v>80.571511111111107</v>
      </c>
      <c r="T74" s="42"/>
    </row>
    <row r="75" spans="1:20" s="85" customFormat="1" x14ac:dyDescent="0.25">
      <c r="A75" s="90"/>
      <c r="B75" s="91"/>
      <c r="C75" s="216"/>
      <c r="D75" s="92"/>
      <c r="E75" s="93"/>
      <c r="F75" s="202"/>
      <c r="G75" s="94"/>
      <c r="H75" s="95"/>
      <c r="I75" s="202"/>
      <c r="J75" s="94"/>
      <c r="K75" s="95"/>
      <c r="L75" s="202"/>
      <c r="M75" s="43"/>
      <c r="N75" s="95"/>
      <c r="O75" s="202"/>
      <c r="P75" s="43"/>
      <c r="Q75" s="96"/>
      <c r="R75" s="95"/>
      <c r="S75" s="202"/>
      <c r="T75" s="43"/>
    </row>
    <row r="79" spans="1:20" ht="15.6" x14ac:dyDescent="0.3">
      <c r="A79" s="12"/>
      <c r="C79" s="217"/>
      <c r="D79" s="12"/>
      <c r="F79" s="204"/>
      <c r="G79" s="66"/>
      <c r="I79" s="204"/>
      <c r="J79" s="66"/>
      <c r="M79" s="45"/>
      <c r="P79" s="45"/>
    </row>
    <row r="80" spans="1:20" x14ac:dyDescent="0.25">
      <c r="A80" s="12"/>
      <c r="C80" s="217"/>
      <c r="D80" s="12"/>
      <c r="F80" s="204"/>
      <c r="G80" s="66"/>
      <c r="I80" s="204"/>
      <c r="J80" s="66"/>
      <c r="M80" s="44"/>
      <c r="N80" s="102"/>
      <c r="P80" s="44"/>
    </row>
    <row r="81" spans="1:16" x14ac:dyDescent="0.25">
      <c r="A81" s="12"/>
      <c r="C81" s="217"/>
      <c r="D81" s="12"/>
      <c r="F81" s="204"/>
      <c r="G81" s="66"/>
      <c r="I81" s="204"/>
      <c r="J81" s="66"/>
      <c r="M81" s="44"/>
      <c r="P81" s="44"/>
    </row>
    <row r="82" spans="1:16" x14ac:dyDescent="0.25">
      <c r="A82" s="12"/>
      <c r="C82" s="217"/>
      <c r="D82" s="12"/>
      <c r="F82" s="204"/>
      <c r="G82" s="66"/>
      <c r="I82" s="204"/>
      <c r="J82" s="66"/>
      <c r="M82" s="44"/>
      <c r="P82" s="44"/>
    </row>
    <row r="83" spans="1:16" x14ac:dyDescent="0.25">
      <c r="A83" s="12"/>
      <c r="C83" s="217"/>
      <c r="D83" s="12"/>
      <c r="F83" s="204"/>
      <c r="G83" s="66"/>
      <c r="H83" s="102"/>
      <c r="I83" s="204"/>
      <c r="J83" s="66"/>
      <c r="M83" s="3"/>
      <c r="P83" s="3"/>
    </row>
    <row r="84" spans="1:16" x14ac:dyDescent="0.25">
      <c r="A84" s="12"/>
      <c r="C84" s="217"/>
      <c r="D84" s="12"/>
      <c r="F84" s="204"/>
      <c r="G84" s="66"/>
      <c r="I84" s="204"/>
      <c r="J84" s="66"/>
      <c r="M84" s="3"/>
      <c r="P84" s="3"/>
    </row>
    <row r="85" spans="1:16" x14ac:dyDescent="0.25">
      <c r="A85" s="12"/>
      <c r="C85" s="217"/>
      <c r="D85" s="12"/>
      <c r="F85" s="204"/>
      <c r="G85" s="66"/>
      <c r="I85" s="204"/>
      <c r="J85" s="66"/>
      <c r="M85" s="3"/>
      <c r="P85" s="3"/>
    </row>
    <row r="86" spans="1:16" x14ac:dyDescent="0.25">
      <c r="A86" s="12"/>
      <c r="C86" s="217"/>
      <c r="D86" s="12"/>
      <c r="F86" s="204"/>
      <c r="G86" s="66"/>
      <c r="I86" s="204"/>
      <c r="J86" s="66"/>
      <c r="M86" s="3"/>
      <c r="P86" s="3"/>
    </row>
    <row r="87" spans="1:16" x14ac:dyDescent="0.25">
      <c r="A87" s="12"/>
      <c r="C87" s="217"/>
      <c r="D87" s="12"/>
      <c r="F87" s="204"/>
      <c r="G87" s="66"/>
      <c r="I87" s="204"/>
      <c r="J87" s="66"/>
    </row>
    <row r="88" spans="1:16" x14ac:dyDescent="0.25">
      <c r="A88" s="12"/>
      <c r="C88" s="217"/>
      <c r="D88" s="12"/>
      <c r="F88" s="204"/>
      <c r="G88" s="66"/>
      <c r="I88" s="204"/>
      <c r="J88" s="66"/>
    </row>
    <row r="89" spans="1:16" x14ac:dyDescent="0.25">
      <c r="A89" s="12"/>
      <c r="C89" s="217"/>
      <c r="D89" s="12"/>
      <c r="F89" s="204"/>
      <c r="G89" s="66"/>
      <c r="I89" s="204"/>
      <c r="J89" s="66"/>
    </row>
  </sheetData>
  <sheetProtection password="DA2B" sheet="1" objects="1" scenarios="1"/>
  <phoneticPr fontId="2" type="noConversion"/>
  <pageMargins left="0.75" right="0.75" top="1" bottom="1" header="0.5" footer="0.5"/>
  <pageSetup paperSize="9" scale="56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workbookViewId="0">
      <selection activeCell="A45" sqref="A45"/>
    </sheetView>
  </sheetViews>
  <sheetFormatPr defaultRowHeight="13.2" x14ac:dyDescent="0.25"/>
  <cols>
    <col min="1" max="1" width="35" bestFit="1" customWidth="1"/>
    <col min="2" max="2" width="7.6640625" bestFit="1" customWidth="1"/>
    <col min="3" max="3" width="11.6640625" bestFit="1" customWidth="1"/>
    <col min="4" max="4" width="13.109375" bestFit="1" customWidth="1"/>
    <col min="5" max="5" width="17.44140625" customWidth="1"/>
  </cols>
  <sheetData>
    <row r="1" spans="1:5" x14ac:dyDescent="0.25">
      <c r="A1" t="s">
        <v>25</v>
      </c>
      <c r="B1" t="s">
        <v>2</v>
      </c>
      <c r="C1" t="s">
        <v>26</v>
      </c>
      <c r="D1" t="s">
        <v>27</v>
      </c>
    </row>
    <row r="2" spans="1:5" x14ac:dyDescent="0.25">
      <c r="C2" t="s">
        <v>28</v>
      </c>
      <c r="D2" t="s">
        <v>29</v>
      </c>
      <c r="E2" t="s">
        <v>76</v>
      </c>
    </row>
    <row r="3" spans="1:5" x14ac:dyDescent="0.25">
      <c r="A3" t="s">
        <v>30</v>
      </c>
      <c r="B3" t="s">
        <v>31</v>
      </c>
      <c r="C3">
        <v>24.5</v>
      </c>
      <c r="D3">
        <v>94.7</v>
      </c>
      <c r="E3" s="4">
        <f>D3*C3</f>
        <v>2320.15</v>
      </c>
    </row>
    <row r="4" spans="1:5" x14ac:dyDescent="0.25">
      <c r="A4" t="s">
        <v>22</v>
      </c>
      <c r="B4" t="s">
        <v>5</v>
      </c>
      <c r="C4">
        <v>3.1649999999999998E-2</v>
      </c>
      <c r="D4">
        <v>56.8</v>
      </c>
      <c r="E4" s="4">
        <f t="shared" ref="E4:E49" si="0">D4*C4</f>
        <v>1.7977199999999998</v>
      </c>
    </row>
    <row r="5" spans="1:5" x14ac:dyDescent="0.25">
      <c r="A5" t="s">
        <v>32</v>
      </c>
      <c r="B5" t="s">
        <v>31</v>
      </c>
      <c r="C5">
        <v>44</v>
      </c>
      <c r="D5">
        <v>63.1</v>
      </c>
      <c r="E5" s="4">
        <f t="shared" si="0"/>
        <v>2776.4</v>
      </c>
    </row>
    <row r="6" spans="1:5" x14ac:dyDescent="0.25">
      <c r="A6" t="s">
        <v>33</v>
      </c>
      <c r="B6" t="s">
        <v>31</v>
      </c>
      <c r="C6">
        <v>34.4</v>
      </c>
      <c r="D6">
        <v>73.599999999999994</v>
      </c>
      <c r="E6" s="4">
        <f t="shared" si="0"/>
        <v>2531.8399999999997</v>
      </c>
    </row>
    <row r="7" spans="1:5" x14ac:dyDescent="0.25">
      <c r="A7" t="s">
        <v>34</v>
      </c>
      <c r="B7" t="s">
        <v>31</v>
      </c>
      <c r="C7">
        <v>26.6</v>
      </c>
      <c r="D7">
        <v>98.3</v>
      </c>
      <c r="E7" s="4">
        <f t="shared" si="0"/>
        <v>2614.7800000000002</v>
      </c>
    </row>
    <row r="8" spans="1:5" x14ac:dyDescent="0.25">
      <c r="A8" t="s">
        <v>35</v>
      </c>
      <c r="B8" t="s">
        <v>31</v>
      </c>
      <c r="C8">
        <v>15.1</v>
      </c>
      <c r="D8">
        <v>109.6</v>
      </c>
      <c r="E8" s="4">
        <f t="shared" si="0"/>
        <v>1654.9599999999998</v>
      </c>
    </row>
    <row r="9" spans="1:5" x14ac:dyDescent="0.25">
      <c r="A9" t="s">
        <v>36</v>
      </c>
      <c r="B9" t="s">
        <v>31</v>
      </c>
      <c r="C9">
        <v>39.4</v>
      </c>
      <c r="D9">
        <v>71.2</v>
      </c>
      <c r="E9" s="4">
        <f t="shared" si="0"/>
        <v>2805.28</v>
      </c>
    </row>
    <row r="10" spans="1:5" x14ac:dyDescent="0.25">
      <c r="A10" t="s">
        <v>37</v>
      </c>
      <c r="B10" t="s">
        <v>31</v>
      </c>
      <c r="C10">
        <v>41.9</v>
      </c>
      <c r="D10">
        <v>80.7</v>
      </c>
      <c r="E10" s="4">
        <f t="shared" si="0"/>
        <v>3381.33</v>
      </c>
    </row>
    <row r="11" spans="1:5" x14ac:dyDescent="0.25">
      <c r="A11" t="s">
        <v>38</v>
      </c>
      <c r="B11" t="s">
        <v>31</v>
      </c>
      <c r="C11">
        <v>9.4</v>
      </c>
      <c r="D11">
        <v>106.7</v>
      </c>
      <c r="E11" s="4">
        <f t="shared" si="0"/>
        <v>1002.98</v>
      </c>
    </row>
    <row r="12" spans="1:5" x14ac:dyDescent="0.25">
      <c r="A12" t="s">
        <v>39</v>
      </c>
      <c r="B12" t="s">
        <v>31</v>
      </c>
      <c r="C12">
        <v>20</v>
      </c>
      <c r="D12">
        <v>101.2</v>
      </c>
      <c r="E12" s="4">
        <f t="shared" si="0"/>
        <v>2024</v>
      </c>
    </row>
    <row r="13" spans="1:5" x14ac:dyDescent="0.25">
      <c r="A13" t="s">
        <v>40</v>
      </c>
      <c r="B13" t="s">
        <v>5</v>
      </c>
      <c r="C13">
        <v>3.1649999999999998E-2</v>
      </c>
      <c r="D13">
        <v>66.7</v>
      </c>
      <c r="E13" s="4">
        <f t="shared" si="0"/>
        <v>2.1110549999999999</v>
      </c>
    </row>
    <row r="14" spans="1:5" x14ac:dyDescent="0.25">
      <c r="A14" t="s">
        <v>41</v>
      </c>
      <c r="B14" t="s">
        <v>31</v>
      </c>
      <c r="C14">
        <v>28.7</v>
      </c>
      <c r="D14">
        <v>89.8</v>
      </c>
      <c r="E14" s="4">
        <f t="shared" si="0"/>
        <v>2577.2599999999998</v>
      </c>
    </row>
    <row r="15" spans="1:5" x14ac:dyDescent="0.25">
      <c r="A15" t="s">
        <v>42</v>
      </c>
      <c r="B15" t="s">
        <v>31</v>
      </c>
      <c r="C15">
        <v>28.7</v>
      </c>
      <c r="D15">
        <v>95.4</v>
      </c>
      <c r="E15" s="4">
        <f t="shared" si="0"/>
        <v>2737.98</v>
      </c>
    </row>
    <row r="16" spans="1:5" x14ac:dyDescent="0.25">
      <c r="A16" t="s">
        <v>43</v>
      </c>
      <c r="B16" t="s">
        <v>31</v>
      </c>
      <c r="C16">
        <v>28.5</v>
      </c>
      <c r="D16">
        <v>111.9</v>
      </c>
      <c r="E16" s="4">
        <f t="shared" si="0"/>
        <v>3189.15</v>
      </c>
    </row>
    <row r="17" spans="1:5" x14ac:dyDescent="0.25">
      <c r="A17" t="s">
        <v>44</v>
      </c>
      <c r="B17" t="s">
        <v>5</v>
      </c>
      <c r="C17">
        <v>3.1649999999999998E-2</v>
      </c>
      <c r="D17">
        <v>41.2</v>
      </c>
      <c r="E17" s="4">
        <f t="shared" si="0"/>
        <v>1.3039799999999999</v>
      </c>
    </row>
    <row r="18" spans="1:5" x14ac:dyDescent="0.25">
      <c r="A18" t="s">
        <v>21</v>
      </c>
      <c r="B18" t="s">
        <v>45</v>
      </c>
      <c r="C18">
        <v>9</v>
      </c>
      <c r="D18">
        <v>74.599999999999994</v>
      </c>
      <c r="E18" s="4">
        <f t="shared" si="0"/>
        <v>671.4</v>
      </c>
    </row>
    <row r="19" spans="1:5" x14ac:dyDescent="0.25">
      <c r="A19" t="s">
        <v>46</v>
      </c>
      <c r="B19" t="s">
        <v>31</v>
      </c>
      <c r="C19">
        <v>45.2</v>
      </c>
      <c r="D19">
        <v>61.6</v>
      </c>
      <c r="E19" s="4">
        <f t="shared" si="0"/>
        <v>2784.32</v>
      </c>
    </row>
    <row r="20" spans="1:5" x14ac:dyDescent="0.25">
      <c r="A20" t="s">
        <v>47</v>
      </c>
      <c r="B20" t="s">
        <v>5</v>
      </c>
      <c r="C20">
        <v>3.1649999999999998E-2</v>
      </c>
      <c r="D20">
        <v>149.5</v>
      </c>
      <c r="E20" s="4">
        <f t="shared" si="0"/>
        <v>4.7316750000000001</v>
      </c>
    </row>
    <row r="21" spans="1:5" x14ac:dyDescent="0.25">
      <c r="A21" t="s">
        <v>48</v>
      </c>
      <c r="B21" t="s">
        <v>31</v>
      </c>
      <c r="C21">
        <v>42.7</v>
      </c>
      <c r="D21">
        <v>74.3</v>
      </c>
      <c r="E21" s="4">
        <f t="shared" si="0"/>
        <v>3172.61</v>
      </c>
    </row>
    <row r="22" spans="1:5" x14ac:dyDescent="0.25">
      <c r="A22" t="s">
        <v>49</v>
      </c>
      <c r="B22" t="s">
        <v>5</v>
      </c>
      <c r="C22">
        <v>3.1649999999999998E-2</v>
      </c>
      <c r="D22">
        <v>247.4</v>
      </c>
      <c r="E22" s="4">
        <f t="shared" si="0"/>
        <v>7.8302099999999992</v>
      </c>
    </row>
    <row r="23" spans="1:5" x14ac:dyDescent="0.25">
      <c r="A23" t="s">
        <v>50</v>
      </c>
      <c r="B23" t="s">
        <v>5</v>
      </c>
      <c r="C23">
        <v>2.3300000000000001E-2</v>
      </c>
      <c r="D23">
        <v>84.2</v>
      </c>
      <c r="E23" s="4">
        <f t="shared" si="0"/>
        <v>1.9618600000000002</v>
      </c>
    </row>
    <row r="24" spans="1:5" x14ac:dyDescent="0.25">
      <c r="A24" t="s">
        <v>51</v>
      </c>
      <c r="B24" t="s">
        <v>31</v>
      </c>
      <c r="C24">
        <v>43.5</v>
      </c>
      <c r="D24">
        <v>71.5</v>
      </c>
      <c r="E24" s="4">
        <f t="shared" si="0"/>
        <v>3110.25</v>
      </c>
    </row>
    <row r="25" spans="1:5" x14ac:dyDescent="0.25">
      <c r="A25" t="s">
        <v>52</v>
      </c>
      <c r="B25" t="s">
        <v>5</v>
      </c>
      <c r="C25">
        <v>1.26E-2</v>
      </c>
      <c r="D25">
        <v>155.19999999999999</v>
      </c>
      <c r="E25" s="4">
        <f t="shared" si="0"/>
        <v>1.9555199999999999</v>
      </c>
    </row>
    <row r="26" spans="1:5" x14ac:dyDescent="0.25">
      <c r="A26" t="s">
        <v>53</v>
      </c>
      <c r="B26" t="s">
        <v>31</v>
      </c>
      <c r="C26">
        <v>36</v>
      </c>
      <c r="D26">
        <v>73.3</v>
      </c>
      <c r="E26" s="4">
        <f t="shared" si="0"/>
        <v>2638.7999999999997</v>
      </c>
    </row>
    <row r="27" spans="1:5" x14ac:dyDescent="0.25">
      <c r="A27" t="s">
        <v>54</v>
      </c>
      <c r="B27" t="s">
        <v>31</v>
      </c>
      <c r="C27">
        <v>45.2</v>
      </c>
      <c r="D27">
        <v>66.7</v>
      </c>
      <c r="E27" s="4">
        <f t="shared" si="0"/>
        <v>3014.84</v>
      </c>
    </row>
    <row r="28" spans="1:5" x14ac:dyDescent="0.25">
      <c r="A28" t="s">
        <v>55</v>
      </c>
      <c r="B28" t="s">
        <v>5</v>
      </c>
      <c r="C28">
        <v>3.5900000000000001E-2</v>
      </c>
      <c r="D28">
        <v>54.9</v>
      </c>
      <c r="E28" s="4">
        <f t="shared" si="0"/>
        <v>1.9709099999999999</v>
      </c>
    </row>
    <row r="29" spans="1:5" x14ac:dyDescent="0.25">
      <c r="A29" t="s">
        <v>56</v>
      </c>
      <c r="B29" t="s">
        <v>31</v>
      </c>
      <c r="C29">
        <v>44</v>
      </c>
      <c r="D29">
        <v>72</v>
      </c>
      <c r="E29" s="4">
        <f t="shared" si="0"/>
        <v>3168</v>
      </c>
    </row>
    <row r="30" spans="1:5" x14ac:dyDescent="0.25">
      <c r="A30" t="s">
        <v>57</v>
      </c>
      <c r="B30" t="s">
        <v>31</v>
      </c>
      <c r="C30">
        <v>44</v>
      </c>
      <c r="D30">
        <v>73.3</v>
      </c>
      <c r="E30" s="4">
        <f t="shared" si="0"/>
        <v>3225.2</v>
      </c>
    </row>
    <row r="31" spans="1:5" x14ac:dyDescent="0.25">
      <c r="A31" t="s">
        <v>58</v>
      </c>
      <c r="B31" t="s">
        <v>31</v>
      </c>
      <c r="C31">
        <v>27.5</v>
      </c>
      <c r="D31">
        <v>80.7</v>
      </c>
      <c r="E31" s="4">
        <f t="shared" si="0"/>
        <v>2219.25</v>
      </c>
    </row>
    <row r="32" spans="1:5" x14ac:dyDescent="0.25">
      <c r="A32" t="s">
        <v>59</v>
      </c>
      <c r="B32" t="s">
        <v>31</v>
      </c>
      <c r="C32">
        <v>40.200000000000003</v>
      </c>
      <c r="D32">
        <v>73.3</v>
      </c>
      <c r="E32" s="4">
        <f t="shared" si="0"/>
        <v>2946.6600000000003</v>
      </c>
    </row>
    <row r="33" spans="1:5" x14ac:dyDescent="0.25">
      <c r="A33" t="s">
        <v>60</v>
      </c>
      <c r="B33" t="s">
        <v>5</v>
      </c>
      <c r="C33">
        <v>3.1649999999999998E-2</v>
      </c>
      <c r="D33">
        <v>191.9</v>
      </c>
      <c r="E33" s="4">
        <f t="shared" si="0"/>
        <v>6.0736349999999995</v>
      </c>
    </row>
    <row r="34" spans="1:5" x14ac:dyDescent="0.25">
      <c r="A34" t="s">
        <v>61</v>
      </c>
      <c r="B34" t="s">
        <v>31</v>
      </c>
      <c r="C34">
        <v>43.1</v>
      </c>
      <c r="D34">
        <v>71.900000000000006</v>
      </c>
      <c r="E34" s="4">
        <f t="shared" si="0"/>
        <v>3098.8900000000003</v>
      </c>
    </row>
    <row r="35" spans="1:5" x14ac:dyDescent="0.25">
      <c r="A35" t="s">
        <v>62</v>
      </c>
      <c r="B35" t="s">
        <v>31</v>
      </c>
      <c r="C35">
        <v>35.200000000000003</v>
      </c>
      <c r="D35">
        <v>100.8</v>
      </c>
      <c r="E35" s="4">
        <f t="shared" si="0"/>
        <v>3548.1600000000003</v>
      </c>
    </row>
    <row r="36" spans="1:5" x14ac:dyDescent="0.25">
      <c r="A36" t="s">
        <v>20</v>
      </c>
      <c r="B36" t="s">
        <v>63</v>
      </c>
      <c r="C36">
        <v>1000</v>
      </c>
      <c r="D36">
        <v>56.1</v>
      </c>
      <c r="E36" s="4">
        <f t="shared" si="0"/>
        <v>56100</v>
      </c>
    </row>
    <row r="37" spans="1:5" x14ac:dyDescent="0.25">
      <c r="A37" t="s">
        <v>64</v>
      </c>
      <c r="B37" t="s">
        <v>31</v>
      </c>
      <c r="C37">
        <v>44.8</v>
      </c>
      <c r="D37">
        <v>73.3</v>
      </c>
      <c r="E37" s="4">
        <f t="shared" si="0"/>
        <v>3283.8399999999997</v>
      </c>
    </row>
    <row r="38" spans="1:5" x14ac:dyDescent="0.25">
      <c r="A38" t="s">
        <v>65</v>
      </c>
      <c r="B38" t="s">
        <v>5</v>
      </c>
      <c r="C38">
        <v>3.1649999999999998E-2</v>
      </c>
      <c r="D38">
        <v>66.7</v>
      </c>
      <c r="E38" s="4">
        <f t="shared" si="0"/>
        <v>2.1110549999999999</v>
      </c>
    </row>
    <row r="39" spans="1:5" x14ac:dyDescent="0.25">
      <c r="A39" t="s">
        <v>66</v>
      </c>
      <c r="B39" t="s">
        <v>31</v>
      </c>
      <c r="C39">
        <v>42.7</v>
      </c>
      <c r="D39">
        <v>73.3</v>
      </c>
      <c r="E39" s="4">
        <f t="shared" si="0"/>
        <v>3129.9100000000003</v>
      </c>
    </row>
    <row r="40" spans="1:5" x14ac:dyDescent="0.25">
      <c r="A40" t="s">
        <v>67</v>
      </c>
      <c r="B40" t="s">
        <v>5</v>
      </c>
      <c r="C40">
        <v>2.3300000000000001E-2</v>
      </c>
      <c r="D40">
        <v>84.2</v>
      </c>
      <c r="E40" s="5">
        <f t="shared" si="0"/>
        <v>1.9618600000000002</v>
      </c>
    </row>
    <row r="41" spans="1:5" x14ac:dyDescent="0.25">
      <c r="A41" t="s">
        <v>68</v>
      </c>
      <c r="B41" t="s">
        <v>31</v>
      </c>
      <c r="C41">
        <v>41.4</v>
      </c>
      <c r="D41">
        <v>73.3</v>
      </c>
      <c r="E41" s="4">
        <f t="shared" si="0"/>
        <v>3034.62</v>
      </c>
    </row>
    <row r="42" spans="1:5" x14ac:dyDescent="0.25">
      <c r="A42" t="s">
        <v>69</v>
      </c>
      <c r="B42" t="s">
        <v>31</v>
      </c>
      <c r="C42">
        <v>23.5</v>
      </c>
      <c r="D42">
        <v>94.6</v>
      </c>
      <c r="E42" s="4">
        <f t="shared" si="0"/>
        <v>2223.1</v>
      </c>
    </row>
    <row r="43" spans="1:5" x14ac:dyDescent="0.25">
      <c r="A43" t="s">
        <v>70</v>
      </c>
      <c r="B43" t="s">
        <v>31</v>
      </c>
      <c r="C43">
        <v>29</v>
      </c>
      <c r="D43">
        <v>103</v>
      </c>
      <c r="E43" s="4">
        <f t="shared" si="0"/>
        <v>2987</v>
      </c>
    </row>
    <row r="44" spans="1:5" x14ac:dyDescent="0.25">
      <c r="A44" t="s">
        <v>71</v>
      </c>
      <c r="B44" t="s">
        <v>5</v>
      </c>
      <c r="C44">
        <v>1.95E-2</v>
      </c>
      <c r="D44">
        <v>100.7</v>
      </c>
      <c r="E44" s="4">
        <f t="shared" si="0"/>
        <v>1.9636500000000001</v>
      </c>
    </row>
    <row r="45" spans="1:5" x14ac:dyDescent="0.25">
      <c r="A45" t="s">
        <v>72</v>
      </c>
      <c r="B45" t="s">
        <v>31</v>
      </c>
      <c r="C45">
        <v>20.7</v>
      </c>
      <c r="D45">
        <v>96.1</v>
      </c>
      <c r="E45" s="4">
        <f t="shared" si="0"/>
        <v>1989.2699999999998</v>
      </c>
    </row>
    <row r="46" spans="1:5" x14ac:dyDescent="0.25">
      <c r="A46" t="s">
        <v>73</v>
      </c>
      <c r="B46" t="s">
        <v>31</v>
      </c>
      <c r="C46">
        <v>10.8</v>
      </c>
      <c r="D46">
        <v>106</v>
      </c>
      <c r="E46" s="4">
        <f t="shared" si="0"/>
        <v>1144.8000000000002</v>
      </c>
    </row>
    <row r="47" spans="1:5" x14ac:dyDescent="0.25">
      <c r="A47" t="s">
        <v>18</v>
      </c>
      <c r="B47" t="s">
        <v>63</v>
      </c>
      <c r="C47">
        <v>1110</v>
      </c>
      <c r="D47">
        <v>56.1</v>
      </c>
      <c r="E47" s="4">
        <f t="shared" si="0"/>
        <v>62271</v>
      </c>
    </row>
    <row r="48" spans="1:5" x14ac:dyDescent="0.25">
      <c r="A48" t="s">
        <v>74</v>
      </c>
      <c r="B48" t="s">
        <v>31</v>
      </c>
      <c r="C48">
        <v>117</v>
      </c>
      <c r="D48">
        <v>0</v>
      </c>
      <c r="E48" s="4">
        <f t="shared" si="0"/>
        <v>0</v>
      </c>
    </row>
    <row r="49" spans="1:5" x14ac:dyDescent="0.25">
      <c r="A49" t="s">
        <v>75</v>
      </c>
      <c r="B49" t="s">
        <v>31</v>
      </c>
      <c r="C49">
        <v>41</v>
      </c>
      <c r="D49">
        <v>77.400000000000006</v>
      </c>
      <c r="E49" s="4">
        <f t="shared" si="0"/>
        <v>3173.4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Grafieken</vt:lpstr>
      </vt:variant>
      <vt:variant>
        <vt:i4>1</vt:i4>
      </vt:variant>
    </vt:vector>
  </HeadingPairs>
  <TitlesOfParts>
    <vt:vector size="6" baseType="lpstr">
      <vt:lpstr>Handleiding</vt:lpstr>
      <vt:lpstr>Invulblad</vt:lpstr>
      <vt:lpstr>CO2 footprint micro's</vt:lpstr>
      <vt:lpstr>CO2 footprint tot berek</vt:lpstr>
      <vt:lpstr>factoren MJA</vt:lpstr>
      <vt:lpstr>Grafiek CO2 footprint 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Mirabella</dc:creator>
  <cp:lastModifiedBy>Mirabella</cp:lastModifiedBy>
  <cp:lastPrinted>2012-05-04T16:34:33Z</cp:lastPrinted>
  <dcterms:created xsi:type="dcterms:W3CDTF">2010-10-04T16:18:24Z</dcterms:created>
  <dcterms:modified xsi:type="dcterms:W3CDTF">2020-04-23T12:06:10Z</dcterms:modified>
</cp:coreProperties>
</file>