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charts/chart2.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hidePivotFieldList="1" defaultThemeVersion="124226"/>
  <bookViews>
    <workbookView xWindow="480" yWindow="120" windowWidth="11025" windowHeight="6180" activeTab="1"/>
  </bookViews>
  <sheets>
    <sheet name="Toelichting" sheetId="11" r:id="rId1"/>
    <sheet name="Techniek" sheetId="10" r:id="rId2"/>
    <sheet name="Vis" sheetId="8" r:id="rId3"/>
    <sheet name="Eindbeoordeling" sheetId="9" r:id="rId4"/>
    <sheet name="Consumententabel (achtergrond)" sheetId="5" r:id="rId5"/>
  </sheets>
  <definedNames>
    <definedName name="_xlnm._FilterDatabase" localSheetId="4" hidden="1">'Consumententabel (achtergrond)'!$Y$4:$Y$87</definedName>
    <definedName name="_xlnm.Print_Area" localSheetId="4">'Consumententabel (achtergrond)'!$A$2:$Z$87</definedName>
    <definedName name="_xlnm.Print_Area" localSheetId="0">Toelichting!$B$2:$B$56</definedName>
  </definedNames>
  <calcPr calcId="125725"/>
</workbook>
</file>

<file path=xl/calcChain.xml><?xml version="1.0" encoding="utf-8"?>
<calcChain xmlns="http://schemas.openxmlformats.org/spreadsheetml/2006/main">
  <c r="S79" i="9"/>
  <c r="D34"/>
  <c r="E34" s="1"/>
  <c r="G34" s="1"/>
  <c r="W79" s="1"/>
  <c r="AC67" i="8"/>
  <c r="AD67"/>
  <c r="AE67"/>
  <c r="AF67"/>
  <c r="AG67"/>
  <c r="AH67"/>
  <c r="W67"/>
  <c r="X67"/>
  <c r="Y67"/>
  <c r="Z67"/>
  <c r="AA67"/>
  <c r="V67"/>
  <c r="J99"/>
  <c r="K99"/>
  <c r="L99"/>
  <c r="P99"/>
  <c r="Q99"/>
  <c r="S99"/>
  <c r="T99"/>
  <c r="U99"/>
  <c r="V99"/>
  <c r="W99"/>
  <c r="X99"/>
  <c r="D99"/>
  <c r="D67"/>
  <c r="T35"/>
  <c r="U35"/>
  <c r="V35"/>
  <c r="W35"/>
  <c r="X35"/>
  <c r="Y35"/>
  <c r="M35"/>
  <c r="N35"/>
  <c r="O35"/>
  <c r="P35"/>
  <c r="Q35"/>
  <c r="R35"/>
  <c r="G35"/>
  <c r="G67" s="1"/>
  <c r="H35"/>
  <c r="H67" s="1"/>
  <c r="R99" s="1"/>
  <c r="I35"/>
  <c r="I67" s="1"/>
  <c r="J35"/>
  <c r="J67" s="1"/>
  <c r="K35"/>
  <c r="K67" s="1"/>
  <c r="F35"/>
  <c r="F67" s="1"/>
  <c r="C35"/>
  <c r="C67" s="1"/>
  <c r="C99" s="1"/>
  <c r="AX125" i="5"/>
  <c r="AT125"/>
  <c r="AK125"/>
  <c r="AG125"/>
  <c r="X125"/>
  <c r="T125"/>
  <c r="K125"/>
  <c r="G125"/>
  <c r="S64" i="9"/>
  <c r="S65"/>
  <c r="D19"/>
  <c r="D20"/>
  <c r="AC52" i="8"/>
  <c r="AD52"/>
  <c r="AE52"/>
  <c r="AF52"/>
  <c r="AG52"/>
  <c r="AH52"/>
  <c r="AC53"/>
  <c r="AD53"/>
  <c r="AE53"/>
  <c r="AF53"/>
  <c r="AG53"/>
  <c r="AH53"/>
  <c r="V52"/>
  <c r="W52"/>
  <c r="X52"/>
  <c r="Y52"/>
  <c r="Z52"/>
  <c r="AA52"/>
  <c r="V53"/>
  <c r="W53"/>
  <c r="X53"/>
  <c r="Y53"/>
  <c r="Z53"/>
  <c r="AA53"/>
  <c r="D64" i="9"/>
  <c r="T64" s="1"/>
  <c r="U64" s="1"/>
  <c r="V64" s="1"/>
  <c r="D65"/>
  <c r="T65" s="1"/>
  <c r="U65" s="1"/>
  <c r="V65" s="1"/>
  <c r="I19"/>
  <c r="I20"/>
  <c r="AG84" i="8"/>
  <c r="AH84"/>
  <c r="AI84"/>
  <c r="AJ84"/>
  <c r="AK84"/>
  <c r="AL84"/>
  <c r="AN84"/>
  <c r="AO84"/>
  <c r="AQ84"/>
  <c r="AR84"/>
  <c r="AS84"/>
  <c r="AG85"/>
  <c r="AH85"/>
  <c r="AI85"/>
  <c r="AJ85"/>
  <c r="AK85"/>
  <c r="AL85"/>
  <c r="AN85"/>
  <c r="AO85"/>
  <c r="AQ85"/>
  <c r="AR85"/>
  <c r="AS85"/>
  <c r="AG86"/>
  <c r="AH86"/>
  <c r="AJ86"/>
  <c r="AK86"/>
  <c r="AL86"/>
  <c r="AN86"/>
  <c r="AO86"/>
  <c r="AQ86"/>
  <c r="AR86"/>
  <c r="AS86"/>
  <c r="Z84"/>
  <c r="AA84"/>
  <c r="AB84"/>
  <c r="AC84"/>
  <c r="AD84"/>
  <c r="AE84"/>
  <c r="Z85"/>
  <c r="AA85"/>
  <c r="AB85"/>
  <c r="AC85"/>
  <c r="AD85"/>
  <c r="AE85"/>
  <c r="Z86"/>
  <c r="AA86"/>
  <c r="AC86"/>
  <c r="AD86"/>
  <c r="AE86"/>
  <c r="P84"/>
  <c r="Q84"/>
  <c r="S84"/>
  <c r="T84"/>
  <c r="U84"/>
  <c r="V84"/>
  <c r="W84"/>
  <c r="X84"/>
  <c r="P85"/>
  <c r="Q85"/>
  <c r="S85"/>
  <c r="T85"/>
  <c r="U85"/>
  <c r="V85"/>
  <c r="W85"/>
  <c r="X85"/>
  <c r="P86"/>
  <c r="Q86"/>
  <c r="S86"/>
  <c r="T86"/>
  <c r="U86"/>
  <c r="V86"/>
  <c r="W86"/>
  <c r="X86"/>
  <c r="D52"/>
  <c r="D84" s="1"/>
  <c r="D53"/>
  <c r="D85" s="1"/>
  <c r="C20"/>
  <c r="C19" i="9" s="1"/>
  <c r="C21" i="8"/>
  <c r="C20" i="9" s="1"/>
  <c r="AH112" i="5"/>
  <c r="AI112"/>
  <c r="AK115"/>
  <c r="AH116"/>
  <c r="AI116"/>
  <c r="AH118"/>
  <c r="AI118"/>
  <c r="AH120"/>
  <c r="AI120"/>
  <c r="AH122"/>
  <c r="AI122"/>
  <c r="AH123"/>
  <c r="AI123"/>
  <c r="AK123"/>
  <c r="AH126"/>
  <c r="AI126"/>
  <c r="AH132"/>
  <c r="AI132"/>
  <c r="AH133"/>
  <c r="AI133"/>
  <c r="AJ133"/>
  <c r="AK133"/>
  <c r="AL133"/>
  <c r="AN133"/>
  <c r="AG112"/>
  <c r="U112"/>
  <c r="V112"/>
  <c r="X115"/>
  <c r="U116"/>
  <c r="N22" i="8" s="1"/>
  <c r="V116" i="5"/>
  <c r="O22" i="8" s="1"/>
  <c r="U118" i="5"/>
  <c r="V118"/>
  <c r="U120"/>
  <c r="V120"/>
  <c r="U122"/>
  <c r="V122"/>
  <c r="U123"/>
  <c r="V123"/>
  <c r="X123"/>
  <c r="U126"/>
  <c r="V126"/>
  <c r="U132"/>
  <c r="V132"/>
  <c r="U133"/>
  <c r="V133"/>
  <c r="W133"/>
  <c r="X133"/>
  <c r="Y133"/>
  <c r="AA133"/>
  <c r="T112"/>
  <c r="H112"/>
  <c r="I112"/>
  <c r="K115"/>
  <c r="H116"/>
  <c r="G22" i="8" s="1"/>
  <c r="G54" s="1"/>
  <c r="I116" i="5"/>
  <c r="H22" i="8" s="1"/>
  <c r="H54" s="1"/>
  <c r="R86" s="1"/>
  <c r="F86" s="1"/>
  <c r="H118" i="5"/>
  <c r="I118"/>
  <c r="H120"/>
  <c r="I120"/>
  <c r="H122"/>
  <c r="I122"/>
  <c r="H123"/>
  <c r="I123"/>
  <c r="K123"/>
  <c r="H126"/>
  <c r="I126"/>
  <c r="H132"/>
  <c r="I132"/>
  <c r="H133"/>
  <c r="I133"/>
  <c r="J133"/>
  <c r="K133"/>
  <c r="L133"/>
  <c r="N133"/>
  <c r="P91" i="8"/>
  <c r="G112" i="5"/>
  <c r="I107"/>
  <c r="AB107"/>
  <c r="H107" s="1"/>
  <c r="AL106"/>
  <c r="H106" s="1"/>
  <c r="I106"/>
  <c r="AI106"/>
  <c r="AB106"/>
  <c r="I105"/>
  <c r="AI105"/>
  <c r="AB105"/>
  <c r="H105" s="1"/>
  <c r="G104"/>
  <c r="AB104"/>
  <c r="N101"/>
  <c r="R103"/>
  <c r="Q103"/>
  <c r="P103"/>
  <c r="M103"/>
  <c r="L103"/>
  <c r="K103"/>
  <c r="J103"/>
  <c r="I103"/>
  <c r="AL103"/>
  <c r="AI103"/>
  <c r="O103" s="1"/>
  <c r="AF103"/>
  <c r="AB103"/>
  <c r="H103" s="1"/>
  <c r="G102"/>
  <c r="I102"/>
  <c r="AL102"/>
  <c r="H102" s="1"/>
  <c r="AI102"/>
  <c r="AF102"/>
  <c r="AB102"/>
  <c r="R101"/>
  <c r="Q101"/>
  <c r="P101"/>
  <c r="M101"/>
  <c r="K101"/>
  <c r="J95"/>
  <c r="J96"/>
  <c r="J97"/>
  <c r="J98"/>
  <c r="J99"/>
  <c r="J101"/>
  <c r="G101"/>
  <c r="I101"/>
  <c r="AI101"/>
  <c r="O101" s="1"/>
  <c r="AF101"/>
  <c r="L101" s="1"/>
  <c r="I100"/>
  <c r="G100"/>
  <c r="K87"/>
  <c r="K88"/>
  <c r="L89"/>
  <c r="L90"/>
  <c r="L91"/>
  <c r="L92"/>
  <c r="L98"/>
  <c r="R95"/>
  <c r="R96"/>
  <c r="R97"/>
  <c r="R98"/>
  <c r="R99"/>
  <c r="G97"/>
  <c r="I97"/>
  <c r="M97"/>
  <c r="N97"/>
  <c r="P97"/>
  <c r="Q97"/>
  <c r="I96"/>
  <c r="I99"/>
  <c r="M99"/>
  <c r="N99"/>
  <c r="P99"/>
  <c r="Q99"/>
  <c r="I95"/>
  <c r="M95"/>
  <c r="N95"/>
  <c r="P95"/>
  <c r="Q95"/>
  <c r="G96"/>
  <c r="M96"/>
  <c r="N96"/>
  <c r="P96"/>
  <c r="Q96"/>
  <c r="I98"/>
  <c r="M98"/>
  <c r="N98"/>
  <c r="O98"/>
  <c r="P98"/>
  <c r="Q98"/>
  <c r="AL96"/>
  <c r="H96" s="1"/>
  <c r="AL97"/>
  <c r="H97" s="1"/>
  <c r="AL98"/>
  <c r="AL99"/>
  <c r="AL100"/>
  <c r="H100" s="1"/>
  <c r="AL101"/>
  <c r="H101" s="1"/>
  <c r="AB96"/>
  <c r="AB97"/>
  <c r="AB98"/>
  <c r="H98" s="1"/>
  <c r="AB99"/>
  <c r="H99" s="1"/>
  <c r="AB100"/>
  <c r="AB101"/>
  <c r="AL95"/>
  <c r="H95" s="1"/>
  <c r="AB95"/>
  <c r="I93"/>
  <c r="J93"/>
  <c r="J115" s="1"/>
  <c r="M93"/>
  <c r="N93"/>
  <c r="N115" s="1"/>
  <c r="P93"/>
  <c r="P115" s="1"/>
  <c r="I21" i="8" s="1"/>
  <c r="I53" s="1"/>
  <c r="Q93" i="5"/>
  <c r="I94"/>
  <c r="J94"/>
  <c r="M94"/>
  <c r="N94"/>
  <c r="P94"/>
  <c r="Q94"/>
  <c r="G93"/>
  <c r="AG115" s="1"/>
  <c r="T21" i="8" s="1"/>
  <c r="G94" i="5"/>
  <c r="AV94"/>
  <c r="AV93"/>
  <c r="AU94"/>
  <c r="AU93"/>
  <c r="AF94"/>
  <c r="L94" s="1"/>
  <c r="AI94"/>
  <c r="O94" s="1"/>
  <c r="AI93"/>
  <c r="O93" s="1"/>
  <c r="AB94"/>
  <c r="AL94"/>
  <c r="H94" s="1"/>
  <c r="AL93"/>
  <c r="H93" s="1"/>
  <c r="AF93"/>
  <c r="L93" s="1"/>
  <c r="AW93"/>
  <c r="R93" s="1"/>
  <c r="Q89"/>
  <c r="G87"/>
  <c r="H87"/>
  <c r="I87"/>
  <c r="J87"/>
  <c r="L87"/>
  <c r="M87"/>
  <c r="N87"/>
  <c r="O87"/>
  <c r="P87"/>
  <c r="Q87"/>
  <c r="G88"/>
  <c r="H88"/>
  <c r="I88"/>
  <c r="J88"/>
  <c r="M88"/>
  <c r="N88"/>
  <c r="O88"/>
  <c r="P88"/>
  <c r="Q88"/>
  <c r="G89"/>
  <c r="N89"/>
  <c r="G90"/>
  <c r="AG130" s="1"/>
  <c r="I90"/>
  <c r="AI130" s="1"/>
  <c r="N90"/>
  <c r="O90"/>
  <c r="P90"/>
  <c r="Q90"/>
  <c r="I91"/>
  <c r="J91"/>
  <c r="M91"/>
  <c r="N91"/>
  <c r="O91"/>
  <c r="P91"/>
  <c r="Q91"/>
  <c r="G92"/>
  <c r="AG113" s="1"/>
  <c r="I92"/>
  <c r="J92"/>
  <c r="M92"/>
  <c r="N92"/>
  <c r="O92"/>
  <c r="P92"/>
  <c r="Q92"/>
  <c r="AS88"/>
  <c r="AP88"/>
  <c r="AI88"/>
  <c r="AF88"/>
  <c r="L88" s="1"/>
  <c r="AH87"/>
  <c r="AG87"/>
  <c r="AE87"/>
  <c r="AD87"/>
  <c r="AW87"/>
  <c r="AW88"/>
  <c r="AW92"/>
  <c r="R92"/>
  <c r="AW91"/>
  <c r="R91"/>
  <c r="AB91"/>
  <c r="AW90"/>
  <c r="R90"/>
  <c r="AB90"/>
  <c r="H90" s="1"/>
  <c r="AW89"/>
  <c r="AB89"/>
  <c r="AB92"/>
  <c r="H92" s="1"/>
  <c r="AB93"/>
  <c r="AB82"/>
  <c r="AB87"/>
  <c r="G78"/>
  <c r="AR86"/>
  <c r="AQ86"/>
  <c r="AN86"/>
  <c r="AR85"/>
  <c r="AQ85"/>
  <c r="AN85"/>
  <c r="AQ84"/>
  <c r="AS84" s="1"/>
  <c r="AN84"/>
  <c r="AP84" s="1"/>
  <c r="AQ83"/>
  <c r="AN83"/>
  <c r="C17" i="8"/>
  <c r="C16" i="9" s="1"/>
  <c r="Q81" i="8"/>
  <c r="S81"/>
  <c r="AH5" i="5"/>
  <c r="AV5"/>
  <c r="Q5" s="1"/>
  <c r="AV6"/>
  <c r="Q6" s="1"/>
  <c r="AV86"/>
  <c r="Q86" s="1"/>
  <c r="T81" i="8"/>
  <c r="U81"/>
  <c r="V81"/>
  <c r="W81"/>
  <c r="X81"/>
  <c r="Q82"/>
  <c r="S82"/>
  <c r="AV11" i="5"/>
  <c r="Q11" s="1"/>
  <c r="AV16"/>
  <c r="Q16" s="1"/>
  <c r="AV17"/>
  <c r="Q17" s="1"/>
  <c r="T82" i="8"/>
  <c r="U82"/>
  <c r="V82"/>
  <c r="W82"/>
  <c r="X82"/>
  <c r="Q83"/>
  <c r="S83"/>
  <c r="AV7" i="5"/>
  <c r="Q7" s="1"/>
  <c r="AV8"/>
  <c r="Q8" s="1"/>
  <c r="AV9"/>
  <c r="Q9" s="1"/>
  <c r="AV10"/>
  <c r="Q10" s="1"/>
  <c r="AV12"/>
  <c r="Q12" s="1"/>
  <c r="AV13"/>
  <c r="Q13" s="1"/>
  <c r="AV14"/>
  <c r="Q14" s="1"/>
  <c r="AV15"/>
  <c r="Q15" s="1"/>
  <c r="AV19"/>
  <c r="Q19" s="1"/>
  <c r="AV20"/>
  <c r="Q20" s="1"/>
  <c r="T83" i="8"/>
  <c r="U83"/>
  <c r="V83"/>
  <c r="W83"/>
  <c r="X83"/>
  <c r="AV21" i="5"/>
  <c r="Q21"/>
  <c r="AV22"/>
  <c r="Q22" s="1"/>
  <c r="AV23"/>
  <c r="Q23" s="1"/>
  <c r="Q87" i="8"/>
  <c r="S87"/>
  <c r="AV24" i="5"/>
  <c r="Q24" s="1"/>
  <c r="AV25"/>
  <c r="Q25" s="1"/>
  <c r="AV26"/>
  <c r="Q26" s="1"/>
  <c r="AV27"/>
  <c r="Q27" s="1"/>
  <c r="AV29"/>
  <c r="Q29" s="1"/>
  <c r="AV30"/>
  <c r="Q30" s="1"/>
  <c r="AV31"/>
  <c r="Q31" s="1"/>
  <c r="AV32"/>
  <c r="Q32" s="1"/>
  <c r="AV33"/>
  <c r="Q33" s="1"/>
  <c r="T87" i="8"/>
  <c r="U87"/>
  <c r="V87"/>
  <c r="W87"/>
  <c r="X87"/>
  <c r="Q88"/>
  <c r="S88"/>
  <c r="AH34" i="5"/>
  <c r="AV34" s="1"/>
  <c r="Q34" s="1"/>
  <c r="T88" i="8"/>
  <c r="U88"/>
  <c r="V88"/>
  <c r="W88"/>
  <c r="X88"/>
  <c r="Q89"/>
  <c r="S89"/>
  <c r="AV47" i="5"/>
  <c r="Q47"/>
  <c r="AD119" s="1"/>
  <c r="AV48"/>
  <c r="Q48"/>
  <c r="AV49"/>
  <c r="Q49"/>
  <c r="T89" i="8"/>
  <c r="U89"/>
  <c r="V89"/>
  <c r="W89"/>
  <c r="X89"/>
  <c r="Q90"/>
  <c r="S90"/>
  <c r="AV51" i="5"/>
  <c r="Q51"/>
  <c r="Q120" s="1"/>
  <c r="AV52"/>
  <c r="Q52"/>
  <c r="AV53"/>
  <c r="Q53"/>
  <c r="AV54"/>
  <c r="Q54"/>
  <c r="AV55"/>
  <c r="Q55"/>
  <c r="AV56"/>
  <c r="Q56"/>
  <c r="AV57"/>
  <c r="Q57"/>
  <c r="AV58"/>
  <c r="Q58"/>
  <c r="AV59"/>
  <c r="Q59"/>
  <c r="T90" i="8"/>
  <c r="U90"/>
  <c r="V90"/>
  <c r="W90"/>
  <c r="X90"/>
  <c r="Q91"/>
  <c r="S91"/>
  <c r="AV35" i="5"/>
  <c r="Q35" s="1"/>
  <c r="AV36"/>
  <c r="Q36" s="1"/>
  <c r="AV40"/>
  <c r="Q40" s="1"/>
  <c r="AV41"/>
  <c r="Q41" s="1"/>
  <c r="AV42"/>
  <c r="Q42" s="1"/>
  <c r="AV43"/>
  <c r="Q43" s="1"/>
  <c r="AV44"/>
  <c r="Q44" s="1"/>
  <c r="AV45"/>
  <c r="Q45" s="1"/>
  <c r="AV46"/>
  <c r="Q46" s="1"/>
  <c r="AV50"/>
  <c r="Q50" s="1"/>
  <c r="T91" i="8"/>
  <c r="U91"/>
  <c r="V91"/>
  <c r="W91"/>
  <c r="X91"/>
  <c r="Q92"/>
  <c r="S92"/>
  <c r="AV38" i="5"/>
  <c r="Q38" s="1"/>
  <c r="T92" i="8"/>
  <c r="U92"/>
  <c r="V92"/>
  <c r="W92"/>
  <c r="X92"/>
  <c r="Q93"/>
  <c r="S93"/>
  <c r="AV39" i="5"/>
  <c r="Q39" s="1"/>
  <c r="T93" i="8"/>
  <c r="U93"/>
  <c r="V93"/>
  <c r="W93"/>
  <c r="X93"/>
  <c r="Q94"/>
  <c r="S94"/>
  <c r="AV78" i="5"/>
  <c r="Q78" s="1"/>
  <c r="T94" i="8"/>
  <c r="U94"/>
  <c r="V94"/>
  <c r="W94"/>
  <c r="X94"/>
  <c r="Q95"/>
  <c r="S95"/>
  <c r="AV65" i="5"/>
  <c r="Q65"/>
  <c r="T95" i="8"/>
  <c r="U95"/>
  <c r="V95"/>
  <c r="W95"/>
  <c r="X95"/>
  <c r="Q96"/>
  <c r="S96"/>
  <c r="AV60" i="5"/>
  <c r="Q60"/>
  <c r="Q126" s="1"/>
  <c r="AV61"/>
  <c r="Q61"/>
  <c r="AV62"/>
  <c r="Q62"/>
  <c r="AV64"/>
  <c r="Q64"/>
  <c r="T96" i="8"/>
  <c r="U96"/>
  <c r="V96"/>
  <c r="W96"/>
  <c r="X96"/>
  <c r="Q97"/>
  <c r="S97"/>
  <c r="AV70" i="5"/>
  <c r="Q70" s="1"/>
  <c r="AV71"/>
  <c r="Q71" s="1"/>
  <c r="AV67"/>
  <c r="Q67" s="1"/>
  <c r="AV68"/>
  <c r="Q68" s="1"/>
  <c r="AV85"/>
  <c r="Q85" s="1"/>
  <c r="T97" i="8"/>
  <c r="U97"/>
  <c r="V97"/>
  <c r="W97"/>
  <c r="X97"/>
  <c r="Q98"/>
  <c r="S98"/>
  <c r="AV69" i="5"/>
  <c r="Q69" s="1"/>
  <c r="AV84"/>
  <c r="Q84" s="1"/>
  <c r="T98" i="8"/>
  <c r="U98"/>
  <c r="V98"/>
  <c r="W98"/>
  <c r="X98"/>
  <c r="Q100"/>
  <c r="S100"/>
  <c r="AV74" i="5"/>
  <c r="Q74" s="1"/>
  <c r="AV75"/>
  <c r="Q75" s="1"/>
  <c r="AV76"/>
  <c r="Q76" s="1"/>
  <c r="AV77"/>
  <c r="Q77" s="1"/>
  <c r="T100" i="8"/>
  <c r="U100"/>
  <c r="V100"/>
  <c r="W100"/>
  <c r="X100"/>
  <c r="Q101"/>
  <c r="S101"/>
  <c r="AV79" i="5"/>
  <c r="Q79"/>
  <c r="AV80"/>
  <c r="Q80"/>
  <c r="T101" i="8"/>
  <c r="U101"/>
  <c r="V101"/>
  <c r="W101"/>
  <c r="X101"/>
  <c r="Q102"/>
  <c r="S102"/>
  <c r="AV82" i="5"/>
  <c r="Q82"/>
  <c r="AQ132" s="1"/>
  <c r="T102" i="8"/>
  <c r="U102"/>
  <c r="V102"/>
  <c r="W102"/>
  <c r="X102"/>
  <c r="Q103"/>
  <c r="S103"/>
  <c r="AV81" i="5"/>
  <c r="Q81"/>
  <c r="AQ133" s="1"/>
  <c r="T103" i="8"/>
  <c r="U103"/>
  <c r="V103"/>
  <c r="W103"/>
  <c r="X103"/>
  <c r="C39"/>
  <c r="C71" s="1"/>
  <c r="C103" s="1"/>
  <c r="C34"/>
  <c r="C66"/>
  <c r="C98" s="1"/>
  <c r="U66" s="1"/>
  <c r="C38"/>
  <c r="C70"/>
  <c r="C102" s="1"/>
  <c r="C32"/>
  <c r="C64" s="1"/>
  <c r="C96" s="1"/>
  <c r="C28"/>
  <c r="C60" s="1"/>
  <c r="C92" s="1"/>
  <c r="C26"/>
  <c r="C58" s="1"/>
  <c r="C90" s="1"/>
  <c r="C24"/>
  <c r="C56" s="1"/>
  <c r="C88" s="1"/>
  <c r="C25"/>
  <c r="C57" s="1"/>
  <c r="C89" s="1"/>
  <c r="C23"/>
  <c r="C55" s="1"/>
  <c r="C87" s="1"/>
  <c r="D16" i="9"/>
  <c r="D61" s="1"/>
  <c r="T61" s="1"/>
  <c r="U61" s="1"/>
  <c r="V61" s="1"/>
  <c r="L22" i="10"/>
  <c r="D96"/>
  <c r="L59"/>
  <c r="E96"/>
  <c r="L19"/>
  <c r="D93"/>
  <c r="L56"/>
  <c r="E93"/>
  <c r="L20"/>
  <c r="D94"/>
  <c r="L57"/>
  <c r="E94"/>
  <c r="L21"/>
  <c r="D95"/>
  <c r="L58"/>
  <c r="E95"/>
  <c r="C18" i="8"/>
  <c r="C17" i="9"/>
  <c r="D17"/>
  <c r="D62"/>
  <c r="T62" s="1"/>
  <c r="U62" s="1"/>
  <c r="V62" s="1"/>
  <c r="C19" i="8"/>
  <c r="C18" i="9" s="1"/>
  <c r="D18"/>
  <c r="D63" s="1"/>
  <c r="T63" s="1"/>
  <c r="U63" s="1"/>
  <c r="V63" s="1"/>
  <c r="D21"/>
  <c r="D66" s="1"/>
  <c r="T66" s="1"/>
  <c r="U66" s="1"/>
  <c r="V66" s="1"/>
  <c r="C27" i="8"/>
  <c r="C59" s="1"/>
  <c r="C91" s="1"/>
  <c r="D22" i="9"/>
  <c r="D67" s="1"/>
  <c r="T67" s="1"/>
  <c r="U67" s="1"/>
  <c r="V67" s="1"/>
  <c r="D23"/>
  <c r="D68" s="1"/>
  <c r="T68" s="1"/>
  <c r="U68" s="1"/>
  <c r="V68" s="1"/>
  <c r="C24"/>
  <c r="H24" s="1"/>
  <c r="C30" i="8"/>
  <c r="C62" s="1"/>
  <c r="C94" s="1"/>
  <c r="C33"/>
  <c r="C65" s="1"/>
  <c r="C97" s="1"/>
  <c r="C130" i="5"/>
  <c r="C36" i="8" s="1"/>
  <c r="D24" i="9"/>
  <c r="D69" s="1"/>
  <c r="T69" s="1"/>
  <c r="U69" s="1"/>
  <c r="V69" s="1"/>
  <c r="C25"/>
  <c r="C70" s="1"/>
  <c r="I70" s="1"/>
  <c r="K70" s="1"/>
  <c r="D25"/>
  <c r="D70" s="1"/>
  <c r="T70" s="1"/>
  <c r="U70" s="1"/>
  <c r="V70" s="1"/>
  <c r="D26"/>
  <c r="D71" s="1"/>
  <c r="T71" s="1"/>
  <c r="U71" s="1"/>
  <c r="V71" s="1"/>
  <c r="D27"/>
  <c r="D72"/>
  <c r="T72" s="1"/>
  <c r="U72" s="1"/>
  <c r="V72" s="1"/>
  <c r="C29" i="8"/>
  <c r="C131" i="5"/>
  <c r="C37" i="8" s="1"/>
  <c r="C69" s="1"/>
  <c r="C101" s="1"/>
  <c r="D28" i="9"/>
  <c r="D73" s="1"/>
  <c r="T73" s="1"/>
  <c r="U73" s="1"/>
  <c r="V73" s="1"/>
  <c r="D29"/>
  <c r="C31" i="8"/>
  <c r="C30" i="9" s="1"/>
  <c r="D30"/>
  <c r="D75" s="1"/>
  <c r="T75" s="1"/>
  <c r="U75" s="1"/>
  <c r="D31"/>
  <c r="D32"/>
  <c r="D77" s="1"/>
  <c r="T77" s="1"/>
  <c r="U77" s="1"/>
  <c r="V77" s="1"/>
  <c r="D33"/>
  <c r="D35"/>
  <c r="D80" s="1"/>
  <c r="T80" s="1"/>
  <c r="U80" s="1"/>
  <c r="D36"/>
  <c r="D37"/>
  <c r="I37" s="1"/>
  <c r="D38"/>
  <c r="C22" i="8"/>
  <c r="C21" i="9" s="1"/>
  <c r="C38"/>
  <c r="C83" s="1"/>
  <c r="I83" s="1"/>
  <c r="K83" s="1"/>
  <c r="S61"/>
  <c r="S62"/>
  <c r="S63"/>
  <c r="S67"/>
  <c r="S68"/>
  <c r="S69"/>
  <c r="S70"/>
  <c r="S71"/>
  <c r="S72"/>
  <c r="S73"/>
  <c r="S74"/>
  <c r="S75"/>
  <c r="S76"/>
  <c r="S77"/>
  <c r="S78"/>
  <c r="S80"/>
  <c r="S81"/>
  <c r="AU5" i="5"/>
  <c r="P5"/>
  <c r="P111" s="1"/>
  <c r="AU6"/>
  <c r="P6"/>
  <c r="AU86"/>
  <c r="P86"/>
  <c r="AU65"/>
  <c r="AF79"/>
  <c r="AI79"/>
  <c r="AU79"/>
  <c r="P79" s="1"/>
  <c r="AU80"/>
  <c r="P80" s="1"/>
  <c r="AL65"/>
  <c r="AB65"/>
  <c r="H65"/>
  <c r="AS82"/>
  <c r="AP82"/>
  <c r="AS76"/>
  <c r="AS75"/>
  <c r="AS73"/>
  <c r="AS72"/>
  <c r="AP73"/>
  <c r="AP75"/>
  <c r="AP76"/>
  <c r="AP72"/>
  <c r="AS69"/>
  <c r="AS68"/>
  <c r="AQ67"/>
  <c r="AS67"/>
  <c r="AS66"/>
  <c r="AS65"/>
  <c r="AS64"/>
  <c r="AS63"/>
  <c r="AS62"/>
  <c r="AS61"/>
  <c r="AP66"/>
  <c r="AN67"/>
  <c r="AP67" s="1"/>
  <c r="AP68"/>
  <c r="AP69"/>
  <c r="AP65"/>
  <c r="AP62"/>
  <c r="AP63"/>
  <c r="AP64"/>
  <c r="AP61"/>
  <c r="AS53"/>
  <c r="AS52"/>
  <c r="AP53"/>
  <c r="AP52"/>
  <c r="AW52" s="1"/>
  <c r="R52" s="1"/>
  <c r="AS47"/>
  <c r="AS46"/>
  <c r="AP46"/>
  <c r="AS40"/>
  <c r="AS41"/>
  <c r="AP40"/>
  <c r="AW40" s="1"/>
  <c r="R40" s="1"/>
  <c r="AP41"/>
  <c r="AP39"/>
  <c r="AW39" s="1"/>
  <c r="R39" s="1"/>
  <c r="AS39"/>
  <c r="AS38"/>
  <c r="AP37"/>
  <c r="AS37"/>
  <c r="AS34"/>
  <c r="AP32"/>
  <c r="AS25"/>
  <c r="AQ24"/>
  <c r="AS24" s="1"/>
  <c r="AP25"/>
  <c r="AW25" s="1"/>
  <c r="R25" s="1"/>
  <c r="AP24"/>
  <c r="AS16"/>
  <c r="AS13"/>
  <c r="AS11"/>
  <c r="AS7"/>
  <c r="AS6"/>
  <c r="AS5"/>
  <c r="AP16"/>
  <c r="AW16" s="1"/>
  <c r="R16" s="1"/>
  <c r="AP13"/>
  <c r="AP11"/>
  <c r="AW11" s="1"/>
  <c r="R11" s="1"/>
  <c r="AP7"/>
  <c r="AP6"/>
  <c r="AP5"/>
  <c r="AI82"/>
  <c r="AF82"/>
  <c r="AI76"/>
  <c r="AI75"/>
  <c r="AI74"/>
  <c r="AI73"/>
  <c r="AI72"/>
  <c r="AF73"/>
  <c r="AF74"/>
  <c r="AF75"/>
  <c r="AF76"/>
  <c r="AF72"/>
  <c r="AI69"/>
  <c r="AI68"/>
  <c r="AG67"/>
  <c r="AI67" s="1"/>
  <c r="AI66"/>
  <c r="AI65"/>
  <c r="AI64"/>
  <c r="AI63"/>
  <c r="AI62"/>
  <c r="AI61"/>
  <c r="AF62"/>
  <c r="AW62" s="1"/>
  <c r="R62" s="1"/>
  <c r="AF63"/>
  <c r="AF64"/>
  <c r="AW64" s="1"/>
  <c r="R64" s="1"/>
  <c r="AF65"/>
  <c r="AF66"/>
  <c r="AD67"/>
  <c r="AF67"/>
  <c r="AF68"/>
  <c r="AF69"/>
  <c r="AF61"/>
  <c r="AI53"/>
  <c r="AI52"/>
  <c r="AF53"/>
  <c r="AW53" s="1"/>
  <c r="R53" s="1"/>
  <c r="AF52"/>
  <c r="AI48"/>
  <c r="AG47"/>
  <c r="AI47"/>
  <c r="AI46"/>
  <c r="AW46"/>
  <c r="AF49"/>
  <c r="AF47"/>
  <c r="AF46"/>
  <c r="AF40"/>
  <c r="AF41"/>
  <c r="AF39"/>
  <c r="AG38"/>
  <c r="AI38" s="1"/>
  <c r="AW38" s="1"/>
  <c r="R38" s="1"/>
  <c r="AI39"/>
  <c r="AI40"/>
  <c r="AI41"/>
  <c r="AI37"/>
  <c r="AF37"/>
  <c r="AW37" s="1"/>
  <c r="R37" s="1"/>
  <c r="AG34"/>
  <c r="AI34"/>
  <c r="AW34" s="1"/>
  <c r="R34" s="1"/>
  <c r="AF32"/>
  <c r="AI28"/>
  <c r="AF28"/>
  <c r="AI25"/>
  <c r="AG24"/>
  <c r="AI24"/>
  <c r="AF25"/>
  <c r="AD24"/>
  <c r="AF24" s="1"/>
  <c r="AI16"/>
  <c r="AI15"/>
  <c r="AI14"/>
  <c r="AI13"/>
  <c r="AI12"/>
  <c r="AI11"/>
  <c r="AI10"/>
  <c r="AI9"/>
  <c r="AI8"/>
  <c r="AI7"/>
  <c r="AI6"/>
  <c r="AI5"/>
  <c r="AF8"/>
  <c r="AF9"/>
  <c r="AF10"/>
  <c r="AF11"/>
  <c r="AF12"/>
  <c r="AF13"/>
  <c r="AF14"/>
  <c r="AF15"/>
  <c r="AF16"/>
  <c r="AF5"/>
  <c r="AW5"/>
  <c r="R5" s="1"/>
  <c r="AF6"/>
  <c r="AF7"/>
  <c r="M71"/>
  <c r="I65"/>
  <c r="M59"/>
  <c r="L9"/>
  <c r="L49"/>
  <c r="AL49"/>
  <c r="AB49"/>
  <c r="H49" s="1"/>
  <c r="I49"/>
  <c r="AI119" s="1"/>
  <c r="O49"/>
  <c r="AU48"/>
  <c r="AU49"/>
  <c r="M5"/>
  <c r="AU69"/>
  <c r="P69"/>
  <c r="P128" s="1"/>
  <c r="AU84"/>
  <c r="P84"/>
  <c r="AL43"/>
  <c r="AB43"/>
  <c r="H43" s="1"/>
  <c r="I43"/>
  <c r="BI121" s="1"/>
  <c r="AE59" i="8" s="1"/>
  <c r="AI91" s="1"/>
  <c r="AH91"/>
  <c r="AJ91"/>
  <c r="AK91"/>
  <c r="AL91"/>
  <c r="AB78" i="5"/>
  <c r="H78" s="1"/>
  <c r="I78"/>
  <c r="AI124" s="1"/>
  <c r="J77"/>
  <c r="J78"/>
  <c r="AJ124" s="1"/>
  <c r="AW78"/>
  <c r="AU78"/>
  <c r="AJ82" i="8"/>
  <c r="AK82"/>
  <c r="AF17" i="5"/>
  <c r="AI17"/>
  <c r="AW17" s="1"/>
  <c r="R17" s="1"/>
  <c r="AL82" i="8"/>
  <c r="AJ83"/>
  <c r="AK83"/>
  <c r="AW7" i="5"/>
  <c r="R7" s="1"/>
  <c r="AW8"/>
  <c r="R8" s="1"/>
  <c r="AW9"/>
  <c r="R9" s="1"/>
  <c r="AW10"/>
  <c r="R10" s="1"/>
  <c r="AW12"/>
  <c r="R12" s="1"/>
  <c r="AW13"/>
  <c r="R13" s="1"/>
  <c r="AW14"/>
  <c r="R14" s="1"/>
  <c r="AW15"/>
  <c r="R15" s="1"/>
  <c r="AF19"/>
  <c r="AI19"/>
  <c r="AW19"/>
  <c r="R19" s="1"/>
  <c r="AW20"/>
  <c r="R20" s="1"/>
  <c r="AL83" i="8"/>
  <c r="AI21" i="5"/>
  <c r="AW21"/>
  <c r="R21" s="1"/>
  <c r="AW22"/>
  <c r="R22" s="1"/>
  <c r="AW23"/>
  <c r="R23" s="1"/>
  <c r="AJ87" i="8"/>
  <c r="AK87"/>
  <c r="AP28" i="5"/>
  <c r="AS28"/>
  <c r="AW28"/>
  <c r="R28" s="1"/>
  <c r="AI32"/>
  <c r="AW32" s="1"/>
  <c r="R32" s="1"/>
  <c r="AW26"/>
  <c r="R26"/>
  <c r="AW27"/>
  <c r="R27"/>
  <c r="AW29"/>
  <c r="R29"/>
  <c r="AW30"/>
  <c r="R30"/>
  <c r="AF31"/>
  <c r="AI31"/>
  <c r="AW31" s="1"/>
  <c r="R31" s="1"/>
  <c r="AW33"/>
  <c r="R33"/>
  <c r="AL87" i="8"/>
  <c r="AJ88"/>
  <c r="AK88"/>
  <c r="AL88"/>
  <c r="AJ89"/>
  <c r="AK89"/>
  <c r="AW49" i="5"/>
  <c r="R49"/>
  <c r="AP47"/>
  <c r="AW48"/>
  <c r="R48" s="1"/>
  <c r="AL89" i="8"/>
  <c r="AJ90"/>
  <c r="AK90"/>
  <c r="AW51" i="5"/>
  <c r="R51"/>
  <c r="AE120" s="1"/>
  <c r="AW54"/>
  <c r="R54"/>
  <c r="AW55"/>
  <c r="R55"/>
  <c r="AW56"/>
  <c r="R56"/>
  <c r="AW57"/>
  <c r="R57"/>
  <c r="AW58"/>
  <c r="R58"/>
  <c r="AW59"/>
  <c r="R59"/>
  <c r="AL90" i="8"/>
  <c r="AW41" i="5"/>
  <c r="R41" s="1"/>
  <c r="R46"/>
  <c r="AF42"/>
  <c r="AI42"/>
  <c r="AW42" s="1"/>
  <c r="R42" s="1"/>
  <c r="AI45"/>
  <c r="AW45"/>
  <c r="R45" s="1"/>
  <c r="AW35"/>
  <c r="R35" s="1"/>
  <c r="AW36"/>
  <c r="R36" s="1"/>
  <c r="AP43"/>
  <c r="AW43" s="1"/>
  <c r="R43" s="1"/>
  <c r="AS43"/>
  <c r="AF43"/>
  <c r="AI43"/>
  <c r="AW44"/>
  <c r="R44" s="1"/>
  <c r="AW50"/>
  <c r="R50" s="1"/>
  <c r="AJ92" i="8"/>
  <c r="AK92"/>
  <c r="AL92"/>
  <c r="AJ93"/>
  <c r="AK93"/>
  <c r="AL93"/>
  <c r="AJ94"/>
  <c r="AK94"/>
  <c r="R78" i="5"/>
  <c r="AR124" s="1"/>
  <c r="AL94" i="8"/>
  <c r="AJ95"/>
  <c r="AK95"/>
  <c r="AW65" i="5"/>
  <c r="R65"/>
  <c r="BE125" s="1"/>
  <c r="AA63" i="8" s="1"/>
  <c r="AL95"/>
  <c r="AJ96"/>
  <c r="AK96"/>
  <c r="AW61" i="5"/>
  <c r="R61" s="1"/>
  <c r="AW63"/>
  <c r="R63" s="1"/>
  <c r="AW60"/>
  <c r="R60" s="1"/>
  <c r="AL96" i="8"/>
  <c r="AJ97"/>
  <c r="AK97"/>
  <c r="AW66" i="5"/>
  <c r="R66"/>
  <c r="AW68"/>
  <c r="R68"/>
  <c r="AP70"/>
  <c r="AS70"/>
  <c r="AF70"/>
  <c r="AI70"/>
  <c r="AW70" s="1"/>
  <c r="R70" s="1"/>
  <c r="AS71"/>
  <c r="AF71"/>
  <c r="AI71"/>
  <c r="AW85"/>
  <c r="R85" s="1"/>
  <c r="AL97" i="8"/>
  <c r="AJ98"/>
  <c r="AK98"/>
  <c r="AW69" i="5"/>
  <c r="R69"/>
  <c r="AL98" i="8"/>
  <c r="AJ100"/>
  <c r="AK100"/>
  <c r="AW72" i="5"/>
  <c r="R72" s="1"/>
  <c r="AW73"/>
  <c r="R73" s="1"/>
  <c r="AW74"/>
  <c r="R74" s="1"/>
  <c r="AW75"/>
  <c r="R75" s="1"/>
  <c r="AW76"/>
  <c r="R76" s="1"/>
  <c r="AW77"/>
  <c r="R77" s="1"/>
  <c r="AL100" i="8"/>
  <c r="AJ101"/>
  <c r="AK101"/>
  <c r="AW79" i="5"/>
  <c r="R79"/>
  <c r="AP80"/>
  <c r="AS80"/>
  <c r="AF80"/>
  <c r="AI80"/>
  <c r="AL101" i="8"/>
  <c r="AJ102"/>
  <c r="AK102"/>
  <c r="AW82" i="5"/>
  <c r="R82" s="1"/>
  <c r="AL102" i="8"/>
  <c r="AJ103"/>
  <c r="AK103"/>
  <c r="AF81" i="5"/>
  <c r="AI81"/>
  <c r="AW81" s="1"/>
  <c r="R81" s="1"/>
  <c r="AL103" i="8"/>
  <c r="AW6" i="5"/>
  <c r="R6" s="1"/>
  <c r="AL81" i="8"/>
  <c r="AK81"/>
  <c r="AJ81"/>
  <c r="AC82"/>
  <c r="AD82"/>
  <c r="AE82"/>
  <c r="AC83"/>
  <c r="AD83"/>
  <c r="AE83"/>
  <c r="AC87"/>
  <c r="AD87"/>
  <c r="AE87"/>
  <c r="AC88"/>
  <c r="AD88"/>
  <c r="AE88"/>
  <c r="AC89"/>
  <c r="AD89"/>
  <c r="AE89"/>
  <c r="AC90"/>
  <c r="AD90"/>
  <c r="AE90"/>
  <c r="AC91"/>
  <c r="AD91"/>
  <c r="AE91"/>
  <c r="AC92"/>
  <c r="AD92"/>
  <c r="AE92"/>
  <c r="AC93"/>
  <c r="AD93"/>
  <c r="AE93"/>
  <c r="AC94"/>
  <c r="AD94"/>
  <c r="AE94"/>
  <c r="AC95"/>
  <c r="AD95"/>
  <c r="AE95"/>
  <c r="AC96"/>
  <c r="AD96"/>
  <c r="AE96"/>
  <c r="AC97"/>
  <c r="AD97"/>
  <c r="AE97"/>
  <c r="AC98"/>
  <c r="AD98"/>
  <c r="AE98"/>
  <c r="AC100"/>
  <c r="AD100"/>
  <c r="AE100"/>
  <c r="AC101"/>
  <c r="AD101"/>
  <c r="AE101"/>
  <c r="AC102"/>
  <c r="AD102"/>
  <c r="AE102"/>
  <c r="AC103"/>
  <c r="AD103"/>
  <c r="AE103"/>
  <c r="AW86" i="5"/>
  <c r="R86"/>
  <c r="AE81" i="8"/>
  <c r="AD81"/>
  <c r="AC81"/>
  <c r="AQ82"/>
  <c r="AR82"/>
  <c r="AS82"/>
  <c r="AQ83"/>
  <c r="AR83"/>
  <c r="AS83"/>
  <c r="AQ87"/>
  <c r="AR87"/>
  <c r="AS87"/>
  <c r="AQ88"/>
  <c r="AR88"/>
  <c r="AS88"/>
  <c r="AQ89"/>
  <c r="AR89"/>
  <c r="AS89"/>
  <c r="AQ90"/>
  <c r="AR90"/>
  <c r="AS90"/>
  <c r="AQ91"/>
  <c r="AR91"/>
  <c r="AS91"/>
  <c r="AQ92"/>
  <c r="AR92"/>
  <c r="AS92"/>
  <c r="AQ93"/>
  <c r="AR93"/>
  <c r="AS93"/>
  <c r="AQ94"/>
  <c r="AR94"/>
  <c r="AS94"/>
  <c r="AQ95"/>
  <c r="AR95"/>
  <c r="AS95"/>
  <c r="AQ96"/>
  <c r="AR96"/>
  <c r="AS96"/>
  <c r="AQ97"/>
  <c r="AR97"/>
  <c r="AS97"/>
  <c r="AQ98"/>
  <c r="AR98"/>
  <c r="AS98"/>
  <c r="AQ100"/>
  <c r="AR100"/>
  <c r="AS100"/>
  <c r="AQ101"/>
  <c r="AR101"/>
  <c r="AS101"/>
  <c r="AQ102"/>
  <c r="AR102"/>
  <c r="AS102"/>
  <c r="AQ103"/>
  <c r="AR103"/>
  <c r="AS103"/>
  <c r="AS81"/>
  <c r="AR81"/>
  <c r="AQ81"/>
  <c r="AO82"/>
  <c r="V18"/>
  <c r="AP82"/>
  <c r="AO83"/>
  <c r="V22"/>
  <c r="AP86" s="1"/>
  <c r="AO87"/>
  <c r="AO88"/>
  <c r="V24"/>
  <c r="AP88"/>
  <c r="AO89"/>
  <c r="V25"/>
  <c r="AP89" s="1"/>
  <c r="AO90"/>
  <c r="V26"/>
  <c r="AP90" s="1"/>
  <c r="AO91"/>
  <c r="AO92"/>
  <c r="V28"/>
  <c r="AP92" s="1"/>
  <c r="AO93"/>
  <c r="V29"/>
  <c r="AP93" s="1"/>
  <c r="AO94"/>
  <c r="V30"/>
  <c r="AP94" s="1"/>
  <c r="AO95"/>
  <c r="AO96"/>
  <c r="V32"/>
  <c r="AP96" s="1"/>
  <c r="J96" s="1"/>
  <c r="AO97"/>
  <c r="I85" i="5"/>
  <c r="AO98" i="8"/>
  <c r="I84" i="5"/>
  <c r="AI128" s="1"/>
  <c r="V34" i="8" s="1"/>
  <c r="AP98" s="1"/>
  <c r="AO100"/>
  <c r="V36"/>
  <c r="AP100" s="1"/>
  <c r="AO101"/>
  <c r="AO102"/>
  <c r="V38"/>
  <c r="AP102" s="1"/>
  <c r="AO103"/>
  <c r="V39"/>
  <c r="AP103" s="1"/>
  <c r="AO81"/>
  <c r="I86" i="5"/>
  <c r="AH82" i="8"/>
  <c r="BI112" i="5"/>
  <c r="AE50" i="8" s="1"/>
  <c r="AI82" s="1"/>
  <c r="AA82"/>
  <c r="AV112" i="5"/>
  <c r="X50" i="8" s="1"/>
  <c r="AB82" s="1"/>
  <c r="AH83"/>
  <c r="BI113" i="5"/>
  <c r="AE51" i="8" s="1"/>
  <c r="AI83" s="1"/>
  <c r="AA83"/>
  <c r="AV113" i="5"/>
  <c r="X51" i="8" s="1"/>
  <c r="AB83" s="1"/>
  <c r="BI116" i="5"/>
  <c r="AE54" i="8" s="1"/>
  <c r="AI86" s="1"/>
  <c r="K86" s="1"/>
  <c r="AV116" i="5"/>
  <c r="X54" i="8" s="1"/>
  <c r="AB86" s="1"/>
  <c r="AH87"/>
  <c r="BI117" i="5"/>
  <c r="AE55" i="8" s="1"/>
  <c r="AI87" s="1"/>
  <c r="AA87"/>
  <c r="AV117" i="5"/>
  <c r="X55" i="8" s="1"/>
  <c r="AB87" s="1"/>
  <c r="AH88"/>
  <c r="BI118" i="5"/>
  <c r="AE56" i="8"/>
  <c r="AI88" s="1"/>
  <c r="AA88"/>
  <c r="AV118" i="5"/>
  <c r="X56" i="8"/>
  <c r="AB88" s="1"/>
  <c r="AH89"/>
  <c r="BI119" i="5"/>
  <c r="AE57" i="8"/>
  <c r="AI89" s="1"/>
  <c r="AA89"/>
  <c r="AV119" i="5"/>
  <c r="X57" i="8"/>
  <c r="AB89" s="1"/>
  <c r="AH90"/>
  <c r="BI120" i="5"/>
  <c r="AE58" i="8"/>
  <c r="AI90" s="1"/>
  <c r="AA90"/>
  <c r="AV120" i="5"/>
  <c r="X58" i="8"/>
  <c r="AB90" s="1"/>
  <c r="AA91"/>
  <c r="AH92"/>
  <c r="BI122" i="5"/>
  <c r="AE60" i="8" s="1"/>
  <c r="AI92" s="1"/>
  <c r="AA92"/>
  <c r="AV122" i="5"/>
  <c r="X60" i="8" s="1"/>
  <c r="AB92" s="1"/>
  <c r="AH93"/>
  <c r="BI123" i="5"/>
  <c r="AE61" i="8" s="1"/>
  <c r="AI93" s="1"/>
  <c r="AA93"/>
  <c r="AV123" i="5"/>
  <c r="X61" i="8" s="1"/>
  <c r="AB93" s="1"/>
  <c r="AH94"/>
  <c r="BI124" i="5"/>
  <c r="AE62" i="8" s="1"/>
  <c r="AI94" s="1"/>
  <c r="AA94"/>
  <c r="AV124" i="5"/>
  <c r="X62" i="8" s="1"/>
  <c r="AB94" s="1"/>
  <c r="AH95"/>
  <c r="BI125" i="5"/>
  <c r="AE63" i="8" s="1"/>
  <c r="AI95" s="1"/>
  <c r="AA95"/>
  <c r="AH96"/>
  <c r="BI126" i="5"/>
  <c r="AE64" i="8"/>
  <c r="AI96" s="1"/>
  <c r="AA96"/>
  <c r="AV126" i="5"/>
  <c r="X64" i="8"/>
  <c r="AB96" s="1"/>
  <c r="AH97"/>
  <c r="AA97"/>
  <c r="AH98"/>
  <c r="BI128" i="5"/>
  <c r="AE66" i="8" s="1"/>
  <c r="AI98"/>
  <c r="AA98"/>
  <c r="AV128" i="5"/>
  <c r="X66" i="8" s="1"/>
  <c r="AB98" s="1"/>
  <c r="AH100"/>
  <c r="BI130" i="5"/>
  <c r="AE68" i="8" s="1"/>
  <c r="AI100" s="1"/>
  <c r="AA100"/>
  <c r="AV130" i="5"/>
  <c r="X68" i="8" s="1"/>
  <c r="AB100" s="1"/>
  <c r="AH101"/>
  <c r="BI131" i="5"/>
  <c r="AE69" i="8" s="1"/>
  <c r="AI101" s="1"/>
  <c r="AA101"/>
  <c r="AV131" i="5"/>
  <c r="X69" i="8" s="1"/>
  <c r="AB101" s="1"/>
  <c r="AH102"/>
  <c r="BI132" i="5"/>
  <c r="AE70" i="8" s="1"/>
  <c r="AI102" s="1"/>
  <c r="AA102"/>
  <c r="AV132" i="5"/>
  <c r="X70" i="8" s="1"/>
  <c r="AB102" s="1"/>
  <c r="AH103"/>
  <c r="BI133" i="5"/>
  <c r="AE71" i="8" s="1"/>
  <c r="AI103" s="1"/>
  <c r="AA103"/>
  <c r="AV133" i="5"/>
  <c r="X71" i="8" s="1"/>
  <c r="AB103" s="1"/>
  <c r="AA81"/>
  <c r="AH81"/>
  <c r="BI111" i="5"/>
  <c r="AE49" i="8" s="1"/>
  <c r="AI81"/>
  <c r="BC110" i="5"/>
  <c r="Y48" i="8"/>
  <c r="AC80" s="1"/>
  <c r="AQ80" s="1"/>
  <c r="BD110" i="5"/>
  <c r="Z48" i="8"/>
  <c r="AD80" s="1"/>
  <c r="AR80" s="1"/>
  <c r="BE110" i="5"/>
  <c r="AA48" i="8"/>
  <c r="AE80" s="1"/>
  <c r="AS80" s="1"/>
  <c r="AC110" i="5"/>
  <c r="BP110"/>
  <c r="AF48" i="8" s="1"/>
  <c r="AJ80" s="1"/>
  <c r="AD110" i="5"/>
  <c r="BQ110"/>
  <c r="AG48" i="8" s="1"/>
  <c r="AK80" s="1"/>
  <c r="AE110" i="5"/>
  <c r="BR110"/>
  <c r="AH48" i="8" s="1"/>
  <c r="AL80" s="1"/>
  <c r="BP111" i="5"/>
  <c r="AF49" i="8"/>
  <c r="AU11" i="5"/>
  <c r="P11"/>
  <c r="AU16"/>
  <c r="P16"/>
  <c r="AU17"/>
  <c r="P17"/>
  <c r="AU7"/>
  <c r="P7"/>
  <c r="AU8"/>
  <c r="P8"/>
  <c r="AU9"/>
  <c r="P9"/>
  <c r="AU10"/>
  <c r="P10"/>
  <c r="AU12"/>
  <c r="P12"/>
  <c r="AU13"/>
  <c r="P13"/>
  <c r="AU14"/>
  <c r="P14"/>
  <c r="AU15"/>
  <c r="P15"/>
  <c r="AU19"/>
  <c r="P19"/>
  <c r="AU20"/>
  <c r="P20"/>
  <c r="AU21"/>
  <c r="P21"/>
  <c r="AU22"/>
  <c r="P22"/>
  <c r="AU23"/>
  <c r="P23"/>
  <c r="AU24"/>
  <c r="P24"/>
  <c r="AU25"/>
  <c r="P25"/>
  <c r="AU26"/>
  <c r="P26"/>
  <c r="AU27"/>
  <c r="P27"/>
  <c r="AU28"/>
  <c r="P28"/>
  <c r="AU29"/>
  <c r="P29"/>
  <c r="AU30"/>
  <c r="P30"/>
  <c r="AU31"/>
  <c r="P31"/>
  <c r="AU32"/>
  <c r="P32"/>
  <c r="AU33"/>
  <c r="P33"/>
  <c r="AU34"/>
  <c r="P34"/>
  <c r="P48"/>
  <c r="P49"/>
  <c r="AU51"/>
  <c r="P51"/>
  <c r="AU52"/>
  <c r="P52"/>
  <c r="AU53"/>
  <c r="P53"/>
  <c r="AU54"/>
  <c r="P54"/>
  <c r="AU55"/>
  <c r="P55"/>
  <c r="AU56"/>
  <c r="P56"/>
  <c r="AU57"/>
  <c r="P57"/>
  <c r="AU58"/>
  <c r="P58" s="1"/>
  <c r="AU59"/>
  <c r="P59" s="1"/>
  <c r="AU35"/>
  <c r="P35" s="1"/>
  <c r="AU36"/>
  <c r="P36" s="1"/>
  <c r="AU37"/>
  <c r="P37" s="1"/>
  <c r="AU40"/>
  <c r="P40" s="1"/>
  <c r="AU41"/>
  <c r="P41" s="1"/>
  <c r="AU42"/>
  <c r="P42" s="1"/>
  <c r="AU43"/>
  <c r="P43" s="1"/>
  <c r="AU44"/>
  <c r="P44" s="1"/>
  <c r="AU45"/>
  <c r="P45" s="1"/>
  <c r="AU46"/>
  <c r="P46" s="1"/>
  <c r="AU50"/>
  <c r="P50" s="1"/>
  <c r="AU38"/>
  <c r="P38" s="1"/>
  <c r="AU39"/>
  <c r="P39" s="1"/>
  <c r="P78"/>
  <c r="P65"/>
  <c r="BP125"/>
  <c r="AF63" i="8" s="1"/>
  <c r="AU60" i="5"/>
  <c r="P60" s="1"/>
  <c r="AU61"/>
  <c r="P61" s="1"/>
  <c r="AU62"/>
  <c r="P62" s="1"/>
  <c r="AU63"/>
  <c r="P63" s="1"/>
  <c r="AU64"/>
  <c r="P64" s="1"/>
  <c r="AU70"/>
  <c r="P70" s="1"/>
  <c r="AU71"/>
  <c r="P71" s="1"/>
  <c r="AU66"/>
  <c r="P66" s="1"/>
  <c r="AU67"/>
  <c r="P67" s="1"/>
  <c r="AU68"/>
  <c r="P68" s="1"/>
  <c r="AU85"/>
  <c r="P85" s="1"/>
  <c r="AU72"/>
  <c r="P72" s="1"/>
  <c r="AU73"/>
  <c r="P73" s="1"/>
  <c r="AU74"/>
  <c r="P74" s="1"/>
  <c r="AU75"/>
  <c r="P75" s="1"/>
  <c r="AU76"/>
  <c r="P76" s="1"/>
  <c r="AU77"/>
  <c r="P77" s="1"/>
  <c r="BP131"/>
  <c r="AF69" i="8" s="1"/>
  <c r="AU82" i="5"/>
  <c r="P82" s="1"/>
  <c r="AU81"/>
  <c r="P81" s="1"/>
  <c r="U110"/>
  <c r="BH110" s="1"/>
  <c r="AD48" i="8" s="1"/>
  <c r="AH80" s="1"/>
  <c r="V110" i="5"/>
  <c r="BI110" s="1"/>
  <c r="AE48" i="8" s="1"/>
  <c r="AI80" s="1"/>
  <c r="BH111" i="5"/>
  <c r="AD49" i="8" s="1"/>
  <c r="BH112" i="5"/>
  <c r="AD50" i="8" s="1"/>
  <c r="BH113" i="5"/>
  <c r="AD51" i="8" s="1"/>
  <c r="BH116" i="5"/>
  <c r="AD54" i="8" s="1"/>
  <c r="BH117" i="5"/>
  <c r="AD55" i="8"/>
  <c r="BH118" i="5"/>
  <c r="AD56" i="8"/>
  <c r="BH119" i="5"/>
  <c r="AD57" i="8"/>
  <c r="BH120" i="5"/>
  <c r="AD58" i="8"/>
  <c r="BH121" i="5"/>
  <c r="AD59" i="8"/>
  <c r="BH122" i="5"/>
  <c r="AD60" i="8"/>
  <c r="BH123" i="5"/>
  <c r="AD61" i="8"/>
  <c r="BH124" i="5"/>
  <c r="AD62" i="8"/>
  <c r="BJ124" i="5"/>
  <c r="BH125"/>
  <c r="AD63" i="8" s="1"/>
  <c r="BH126" i="5"/>
  <c r="AD64" i="8" s="1"/>
  <c r="AL85" i="5"/>
  <c r="AB85"/>
  <c r="H85"/>
  <c r="AL84"/>
  <c r="AB84"/>
  <c r="H84" s="1"/>
  <c r="BH130"/>
  <c r="AD68" i="8" s="1"/>
  <c r="J72" i="5"/>
  <c r="J73"/>
  <c r="J74"/>
  <c r="J75"/>
  <c r="J76"/>
  <c r="BH131"/>
  <c r="AD69" i="8"/>
  <c r="BH132" i="5"/>
  <c r="AD70" i="8"/>
  <c r="BH133" i="5"/>
  <c r="AD71" i="8"/>
  <c r="BG112" i="5"/>
  <c r="AC50" i="8"/>
  <c r="AG82"/>
  <c r="K82" s="1"/>
  <c r="BG113" i="5"/>
  <c r="AC51" i="8"/>
  <c r="AG83"/>
  <c r="BG116" i="5"/>
  <c r="AC54" i="8" s="1"/>
  <c r="BG117" i="5"/>
  <c r="AC55" i="8"/>
  <c r="AG87"/>
  <c r="K87" s="1"/>
  <c r="BG118" i="5"/>
  <c r="AC56" i="8"/>
  <c r="AG88"/>
  <c r="K88" s="1"/>
  <c r="BG119" i="5"/>
  <c r="AC57" i="8"/>
  <c r="AG89"/>
  <c r="K89" s="1"/>
  <c r="BG120" i="5"/>
  <c r="AC58" i="8"/>
  <c r="AG90"/>
  <c r="K90" s="1"/>
  <c r="BG121" i="5"/>
  <c r="AC59" i="8"/>
  <c r="AG91"/>
  <c r="K91" s="1"/>
  <c r="BG122" i="5"/>
  <c r="AC60" i="8"/>
  <c r="AG92"/>
  <c r="K92" s="1"/>
  <c r="BG123" i="5"/>
  <c r="AC61" i="8"/>
  <c r="AG93"/>
  <c r="K93" s="1"/>
  <c r="BG124" i="5"/>
  <c r="AC62" i="8"/>
  <c r="AG94"/>
  <c r="BG125" i="5"/>
  <c r="AC63" i="8"/>
  <c r="AG95"/>
  <c r="BG126" i="5"/>
  <c r="AC64" i="8"/>
  <c r="AG96"/>
  <c r="K96" s="1"/>
  <c r="G85" i="5"/>
  <c r="BG127"/>
  <c r="AC65" i="8" s="1"/>
  <c r="AG97"/>
  <c r="G84" i="5"/>
  <c r="BG128" s="1"/>
  <c r="AC66" i="8" s="1"/>
  <c r="AG98"/>
  <c r="K98" s="1"/>
  <c r="BG130" i="5"/>
  <c r="AC68" i="8"/>
  <c r="AG100"/>
  <c r="BG131" i="5"/>
  <c r="AC69" i="8"/>
  <c r="AG101"/>
  <c r="BG132" i="5"/>
  <c r="AC70" i="8"/>
  <c r="AG102"/>
  <c r="BG133" i="5"/>
  <c r="AC71" i="8"/>
  <c r="AG103"/>
  <c r="T110" i="5"/>
  <c r="BG110"/>
  <c r="AC48" i="8" s="1"/>
  <c r="AG80" s="1"/>
  <c r="G86" i="5"/>
  <c r="G111" s="1"/>
  <c r="BG111"/>
  <c r="AC49" i="8" s="1"/>
  <c r="AG81"/>
  <c r="BC125" i="5"/>
  <c r="Y63" i="8"/>
  <c r="BC131" i="5"/>
  <c r="Y69" i="8"/>
  <c r="AU110" i="5"/>
  <c r="W48" i="8"/>
  <c r="AA80" s="1"/>
  <c r="AO80" s="1"/>
  <c r="AV110" i="5"/>
  <c r="X48" i="8"/>
  <c r="AB80" s="1"/>
  <c r="AP80" s="1"/>
  <c r="AT110" i="5"/>
  <c r="V48" i="8"/>
  <c r="Z80" s="1"/>
  <c r="AN80" s="1"/>
  <c r="V80"/>
  <c r="W80"/>
  <c r="X80"/>
  <c r="AP110" i="5"/>
  <c r="W16" i="8" s="1"/>
  <c r="AQ110" i="5"/>
  <c r="X16" i="8" s="1"/>
  <c r="AR110" i="5"/>
  <c r="Y16" i="8" s="1"/>
  <c r="P16"/>
  <c r="Q16"/>
  <c r="R16"/>
  <c r="Q25"/>
  <c r="R26"/>
  <c r="J16"/>
  <c r="I16"/>
  <c r="K16"/>
  <c r="K84" i="5"/>
  <c r="BK128"/>
  <c r="J69"/>
  <c r="J84"/>
  <c r="BJ128" s="1"/>
  <c r="L84"/>
  <c r="N69"/>
  <c r="N84"/>
  <c r="BN128"/>
  <c r="M84"/>
  <c r="BM128"/>
  <c r="O69"/>
  <c r="O84"/>
  <c r="BO128" s="1"/>
  <c r="K70"/>
  <c r="K71"/>
  <c r="K66"/>
  <c r="K67"/>
  <c r="K68"/>
  <c r="K85"/>
  <c r="J70"/>
  <c r="J71"/>
  <c r="J66"/>
  <c r="J67"/>
  <c r="J68"/>
  <c r="J85"/>
  <c r="BJ127"/>
  <c r="L70"/>
  <c r="L71"/>
  <c r="BL127" s="1"/>
  <c r="L66"/>
  <c r="L67"/>
  <c r="L68"/>
  <c r="L85"/>
  <c r="N70"/>
  <c r="N71"/>
  <c r="N67"/>
  <c r="N68"/>
  <c r="N85"/>
  <c r="M70"/>
  <c r="M66"/>
  <c r="M67"/>
  <c r="M68"/>
  <c r="M85"/>
  <c r="O70"/>
  <c r="O71"/>
  <c r="O66"/>
  <c r="O67"/>
  <c r="O68"/>
  <c r="O85"/>
  <c r="Z97" i="8"/>
  <c r="K72" i="5"/>
  <c r="K73"/>
  <c r="K74"/>
  <c r="K75"/>
  <c r="BK130" s="1"/>
  <c r="K76"/>
  <c r="K77"/>
  <c r="L72"/>
  <c r="L73"/>
  <c r="BL130" s="1"/>
  <c r="L74"/>
  <c r="L75"/>
  <c r="L76"/>
  <c r="L77"/>
  <c r="N74"/>
  <c r="N75"/>
  <c r="N76"/>
  <c r="N77"/>
  <c r="BN130" s="1"/>
  <c r="M72"/>
  <c r="M73"/>
  <c r="BM130" s="1"/>
  <c r="M74"/>
  <c r="M75"/>
  <c r="M76"/>
  <c r="M77"/>
  <c r="K79"/>
  <c r="J79"/>
  <c r="L79"/>
  <c r="N79"/>
  <c r="M79"/>
  <c r="M80"/>
  <c r="BM131"/>
  <c r="K82"/>
  <c r="BK132"/>
  <c r="J82"/>
  <c r="BJ132"/>
  <c r="L82"/>
  <c r="BL132"/>
  <c r="N82"/>
  <c r="BN132"/>
  <c r="M82"/>
  <c r="BM132"/>
  <c r="BK133"/>
  <c r="BJ133"/>
  <c r="BL133"/>
  <c r="BN133"/>
  <c r="M81"/>
  <c r="BM133"/>
  <c r="K11"/>
  <c r="K16"/>
  <c r="K17"/>
  <c r="BK112"/>
  <c r="J11"/>
  <c r="J16"/>
  <c r="J17"/>
  <c r="BJ112"/>
  <c r="L11"/>
  <c r="L16"/>
  <c r="L17"/>
  <c r="BL112"/>
  <c r="N11"/>
  <c r="N16"/>
  <c r="N17"/>
  <c r="BN112"/>
  <c r="M11"/>
  <c r="M16"/>
  <c r="M17"/>
  <c r="BM112"/>
  <c r="K7"/>
  <c r="K8"/>
  <c r="BK113" s="1"/>
  <c r="K9"/>
  <c r="K10"/>
  <c r="K12"/>
  <c r="K13"/>
  <c r="K14"/>
  <c r="K15"/>
  <c r="K19"/>
  <c r="K20"/>
  <c r="J7"/>
  <c r="J8"/>
  <c r="J9"/>
  <c r="J10"/>
  <c r="J12"/>
  <c r="J13"/>
  <c r="J14"/>
  <c r="J15"/>
  <c r="BJ113" s="1"/>
  <c r="J19"/>
  <c r="J20"/>
  <c r="L7"/>
  <c r="L8"/>
  <c r="L10"/>
  <c r="L12"/>
  <c r="L13"/>
  <c r="L14"/>
  <c r="L15"/>
  <c r="BL113" s="1"/>
  <c r="L19"/>
  <c r="L20"/>
  <c r="N7"/>
  <c r="N8"/>
  <c r="BN113" s="1"/>
  <c r="N9"/>
  <c r="N10"/>
  <c r="N12"/>
  <c r="N13"/>
  <c r="N14"/>
  <c r="N15"/>
  <c r="N19"/>
  <c r="N20"/>
  <c r="M7"/>
  <c r="M8"/>
  <c r="M9"/>
  <c r="M10"/>
  <c r="M12"/>
  <c r="M13"/>
  <c r="M14"/>
  <c r="M15"/>
  <c r="BM113" s="1"/>
  <c r="M19"/>
  <c r="M20"/>
  <c r="K21"/>
  <c r="K22"/>
  <c r="K23"/>
  <c r="BK116"/>
  <c r="J21"/>
  <c r="J22"/>
  <c r="J23"/>
  <c r="BJ116"/>
  <c r="L21"/>
  <c r="L22"/>
  <c r="L23"/>
  <c r="BL116"/>
  <c r="N21"/>
  <c r="N22"/>
  <c r="N23"/>
  <c r="BN116"/>
  <c r="M21"/>
  <c r="M22"/>
  <c r="M23"/>
  <c r="BM116"/>
  <c r="K24"/>
  <c r="K25"/>
  <c r="BK117" s="1"/>
  <c r="K26"/>
  <c r="K27"/>
  <c r="K28"/>
  <c r="K29"/>
  <c r="K30"/>
  <c r="K31"/>
  <c r="K32"/>
  <c r="K33"/>
  <c r="J24"/>
  <c r="J25"/>
  <c r="J26"/>
  <c r="J27"/>
  <c r="J28"/>
  <c r="J29"/>
  <c r="J30"/>
  <c r="J31"/>
  <c r="BJ117" s="1"/>
  <c r="J32"/>
  <c r="J33"/>
  <c r="L24"/>
  <c r="L25"/>
  <c r="BL117" s="1"/>
  <c r="L26"/>
  <c r="L27"/>
  <c r="L28"/>
  <c r="L29"/>
  <c r="L30"/>
  <c r="L31"/>
  <c r="L32"/>
  <c r="L33"/>
  <c r="N24"/>
  <c r="N25"/>
  <c r="N26"/>
  <c r="N27"/>
  <c r="N29"/>
  <c r="N30"/>
  <c r="N31"/>
  <c r="N32"/>
  <c r="N33"/>
  <c r="M24"/>
  <c r="M25"/>
  <c r="M26"/>
  <c r="M27"/>
  <c r="M28"/>
  <c r="M29"/>
  <c r="M30"/>
  <c r="M31"/>
  <c r="BM117" s="1"/>
  <c r="M32"/>
  <c r="M33"/>
  <c r="K34"/>
  <c r="BK118"/>
  <c r="J34"/>
  <c r="BJ118"/>
  <c r="L34"/>
  <c r="BL118"/>
  <c r="N34"/>
  <c r="BN118"/>
  <c r="M34"/>
  <c r="BM118"/>
  <c r="K47"/>
  <c r="K48"/>
  <c r="K49"/>
  <c r="BK119"/>
  <c r="J47"/>
  <c r="J48"/>
  <c r="J49"/>
  <c r="BJ119"/>
  <c r="L47"/>
  <c r="L48"/>
  <c r="BL119" s="1"/>
  <c r="N47"/>
  <c r="N48"/>
  <c r="N49"/>
  <c r="M47"/>
  <c r="M48"/>
  <c r="M49"/>
  <c r="K51"/>
  <c r="K52"/>
  <c r="K53"/>
  <c r="K54"/>
  <c r="K55"/>
  <c r="K56"/>
  <c r="K57"/>
  <c r="K58"/>
  <c r="K59"/>
  <c r="J51"/>
  <c r="J52"/>
  <c r="J53"/>
  <c r="J54"/>
  <c r="J55"/>
  <c r="J56"/>
  <c r="J57"/>
  <c r="J58"/>
  <c r="J59"/>
  <c r="L51"/>
  <c r="L52"/>
  <c r="L53"/>
  <c r="L54"/>
  <c r="L55"/>
  <c r="L56"/>
  <c r="L57"/>
  <c r="L58"/>
  <c r="L59"/>
  <c r="N51"/>
  <c r="N52"/>
  <c r="N53"/>
  <c r="N54"/>
  <c r="N55"/>
  <c r="N56"/>
  <c r="N57"/>
  <c r="N58"/>
  <c r="N59"/>
  <c r="M51"/>
  <c r="M52"/>
  <c r="M53"/>
  <c r="M54"/>
  <c r="M55"/>
  <c r="M56"/>
  <c r="M57"/>
  <c r="M58"/>
  <c r="BM120" s="1"/>
  <c r="K35"/>
  <c r="K36"/>
  <c r="K41"/>
  <c r="K42"/>
  <c r="K43"/>
  <c r="K44"/>
  <c r="K45"/>
  <c r="BK121" s="1"/>
  <c r="K46"/>
  <c r="K50"/>
  <c r="J35"/>
  <c r="J36"/>
  <c r="J37"/>
  <c r="J40"/>
  <c r="J41"/>
  <c r="J42"/>
  <c r="J43"/>
  <c r="BJ121" s="1"/>
  <c r="J44"/>
  <c r="J45"/>
  <c r="J46"/>
  <c r="J50"/>
  <c r="L35"/>
  <c r="L36"/>
  <c r="L37"/>
  <c r="L40"/>
  <c r="L41"/>
  <c r="L42"/>
  <c r="L43"/>
  <c r="BL121" s="1"/>
  <c r="L44"/>
  <c r="L45"/>
  <c r="L46"/>
  <c r="L50"/>
  <c r="N35"/>
  <c r="N36"/>
  <c r="BN121" s="1"/>
  <c r="N37"/>
  <c r="N40"/>
  <c r="N41"/>
  <c r="N42"/>
  <c r="N43"/>
  <c r="N44"/>
  <c r="N45"/>
  <c r="N50"/>
  <c r="M35"/>
  <c r="M36"/>
  <c r="M37"/>
  <c r="M40"/>
  <c r="M41"/>
  <c r="M42"/>
  <c r="M43"/>
  <c r="M44"/>
  <c r="M45"/>
  <c r="M46"/>
  <c r="M50"/>
  <c r="K38"/>
  <c r="J38"/>
  <c r="L38"/>
  <c r="N38"/>
  <c r="M38"/>
  <c r="BK123"/>
  <c r="J39"/>
  <c r="BJ123"/>
  <c r="L39"/>
  <c r="BL123"/>
  <c r="N39"/>
  <c r="BN123"/>
  <c r="M39"/>
  <c r="BM123"/>
  <c r="K78"/>
  <c r="BK124"/>
  <c r="L78"/>
  <c r="BL124"/>
  <c r="N78"/>
  <c r="BN124"/>
  <c r="M78"/>
  <c r="BM124"/>
  <c r="BK125"/>
  <c r="BJ125"/>
  <c r="BL125"/>
  <c r="N65"/>
  <c r="M65"/>
  <c r="K60"/>
  <c r="K62"/>
  <c r="K64"/>
  <c r="J60"/>
  <c r="J61"/>
  <c r="J62"/>
  <c r="J63"/>
  <c r="J64"/>
  <c r="L60"/>
  <c r="L61"/>
  <c r="L62"/>
  <c r="L63"/>
  <c r="L64"/>
  <c r="N60"/>
  <c r="N61"/>
  <c r="N62"/>
  <c r="M60"/>
  <c r="M61"/>
  <c r="M62"/>
  <c r="M63"/>
  <c r="M64"/>
  <c r="K6"/>
  <c r="J6"/>
  <c r="L6"/>
  <c r="N5"/>
  <c r="N6"/>
  <c r="BN111"/>
  <c r="M6"/>
  <c r="BM111"/>
  <c r="L86"/>
  <c r="AY111"/>
  <c r="N86"/>
  <c r="M86"/>
  <c r="O5"/>
  <c r="O6"/>
  <c r="O86"/>
  <c r="BB111"/>
  <c r="AY112"/>
  <c r="BA112"/>
  <c r="AZ112"/>
  <c r="O11"/>
  <c r="O16"/>
  <c r="O17"/>
  <c r="AY113"/>
  <c r="BA113"/>
  <c r="AZ113"/>
  <c r="O7"/>
  <c r="O8"/>
  <c r="BB113" s="1"/>
  <c r="O9"/>
  <c r="O10"/>
  <c r="O12"/>
  <c r="O13"/>
  <c r="O14"/>
  <c r="O15"/>
  <c r="O19"/>
  <c r="O20"/>
  <c r="AY116"/>
  <c r="BA116"/>
  <c r="AZ116"/>
  <c r="O21"/>
  <c r="O22"/>
  <c r="O23"/>
  <c r="BB116"/>
  <c r="AY117"/>
  <c r="BA117"/>
  <c r="AZ117"/>
  <c r="O24"/>
  <c r="O25"/>
  <c r="O26"/>
  <c r="O27"/>
  <c r="O28"/>
  <c r="O29"/>
  <c r="O30"/>
  <c r="O31"/>
  <c r="BB117" s="1"/>
  <c r="O32"/>
  <c r="O33"/>
  <c r="AY118"/>
  <c r="BA118"/>
  <c r="AZ118"/>
  <c r="O34"/>
  <c r="AY119"/>
  <c r="BA119"/>
  <c r="AZ119"/>
  <c r="O47"/>
  <c r="O48"/>
  <c r="BB119" s="1"/>
  <c r="AY120"/>
  <c r="BA120"/>
  <c r="AZ120"/>
  <c r="O51"/>
  <c r="O52"/>
  <c r="BO120" s="1"/>
  <c r="O53"/>
  <c r="O54"/>
  <c r="O55"/>
  <c r="O56"/>
  <c r="O57"/>
  <c r="O58"/>
  <c r="O59"/>
  <c r="AY121"/>
  <c r="BA121"/>
  <c r="AZ121"/>
  <c r="O35"/>
  <c r="O36"/>
  <c r="O37"/>
  <c r="BB121" s="1"/>
  <c r="O40"/>
  <c r="O41"/>
  <c r="O42"/>
  <c r="O43"/>
  <c r="O44"/>
  <c r="O45"/>
  <c r="O46"/>
  <c r="O50"/>
  <c r="AY122"/>
  <c r="BA122"/>
  <c r="AZ122"/>
  <c r="O38"/>
  <c r="AY123"/>
  <c r="BA123"/>
  <c r="AZ123"/>
  <c r="O39"/>
  <c r="BB123"/>
  <c r="AY124"/>
  <c r="BA124"/>
  <c r="AZ124"/>
  <c r="O78"/>
  <c r="AY125"/>
  <c r="BA125"/>
  <c r="AZ125"/>
  <c r="O65"/>
  <c r="BB125"/>
  <c r="AY126"/>
  <c r="AZ126"/>
  <c r="O60"/>
  <c r="O61"/>
  <c r="O62"/>
  <c r="O63"/>
  <c r="O64"/>
  <c r="AY127"/>
  <c r="BA127"/>
  <c r="AZ127"/>
  <c r="BB127"/>
  <c r="AY128"/>
  <c r="BA128"/>
  <c r="AZ128"/>
  <c r="BB128"/>
  <c r="AY130"/>
  <c r="AZ130"/>
  <c r="O72"/>
  <c r="O73"/>
  <c r="O74"/>
  <c r="O75"/>
  <c r="O76"/>
  <c r="O77"/>
  <c r="AY131"/>
  <c r="BA131"/>
  <c r="AZ131"/>
  <c r="O79"/>
  <c r="O80"/>
  <c r="BB131" s="1"/>
  <c r="AY132"/>
  <c r="BA132"/>
  <c r="AZ132"/>
  <c r="O82"/>
  <c r="BB132"/>
  <c r="AY133"/>
  <c r="BA133"/>
  <c r="AZ133"/>
  <c r="O81"/>
  <c r="AL86"/>
  <c r="AB86"/>
  <c r="H86"/>
  <c r="K86"/>
  <c r="AX111"/>
  <c r="J86"/>
  <c r="AW111"/>
  <c r="AU112"/>
  <c r="AX112"/>
  <c r="AW112"/>
  <c r="AU113"/>
  <c r="AX113"/>
  <c r="AW113"/>
  <c r="AU116"/>
  <c r="W54" i="8" s="1"/>
  <c r="AX116" i="5"/>
  <c r="AW116"/>
  <c r="AU117"/>
  <c r="W55" i="8" s="1"/>
  <c r="AX117" i="5"/>
  <c r="AW117"/>
  <c r="AU118"/>
  <c r="AX118"/>
  <c r="AW118"/>
  <c r="AU119"/>
  <c r="AX119"/>
  <c r="AW119"/>
  <c r="AU120"/>
  <c r="AX120"/>
  <c r="AW120"/>
  <c r="AU122"/>
  <c r="AX122"/>
  <c r="AW122"/>
  <c r="AU123"/>
  <c r="AX123"/>
  <c r="AW123"/>
  <c r="AU124"/>
  <c r="AX124"/>
  <c r="AW124"/>
  <c r="AU126"/>
  <c r="AX126"/>
  <c r="AW126"/>
  <c r="AX128"/>
  <c r="AW128"/>
  <c r="AU130"/>
  <c r="AX130"/>
  <c r="AW130"/>
  <c r="AU131"/>
  <c r="AX131"/>
  <c r="AW131"/>
  <c r="AU132"/>
  <c r="AX132"/>
  <c r="AW132"/>
  <c r="AU133"/>
  <c r="AX133"/>
  <c r="AW133"/>
  <c r="AT128"/>
  <c r="V66" i="8" s="1"/>
  <c r="Z98"/>
  <c r="L98" s="1"/>
  <c r="AT111" i="5"/>
  <c r="V49" i="8" s="1"/>
  <c r="Z81"/>
  <c r="AG128" i="5"/>
  <c r="T34" i="8"/>
  <c r="AN98"/>
  <c r="J98" s="1"/>
  <c r="AN97"/>
  <c r="AG111" i="5"/>
  <c r="T17" i="8"/>
  <c r="AN81"/>
  <c r="BO111" i="5"/>
  <c r="BO112"/>
  <c r="BO113"/>
  <c r="BO116"/>
  <c r="BO117"/>
  <c r="BO118"/>
  <c r="BO119"/>
  <c r="BO121"/>
  <c r="BO122"/>
  <c r="BO123"/>
  <c r="BO124"/>
  <c r="BO125"/>
  <c r="AT112"/>
  <c r="V50" i="8" s="1"/>
  <c r="Z82"/>
  <c r="AT113" i="5"/>
  <c r="V51" i="8"/>
  <c r="Z83"/>
  <c r="L83" s="1"/>
  <c r="AT116" i="5"/>
  <c r="V54" i="8" s="1"/>
  <c r="AT117" i="5"/>
  <c r="V55" i="8" s="1"/>
  <c r="Z87"/>
  <c r="AT118" i="5"/>
  <c r="V56" i="8" s="1"/>
  <c r="Z88"/>
  <c r="L88" s="1"/>
  <c r="AT119" i="5"/>
  <c r="V57" i="8" s="1"/>
  <c r="Z89"/>
  <c r="AT120" i="5"/>
  <c r="V58" i="8"/>
  <c r="Z90"/>
  <c r="L90"/>
  <c r="Z91"/>
  <c r="AT122" i="5"/>
  <c r="V60" i="8"/>
  <c r="Z92"/>
  <c r="L92" s="1"/>
  <c r="AT123" i="5"/>
  <c r="V61" i="8"/>
  <c r="Z93"/>
  <c r="AT124" i="5"/>
  <c r="V62" i="8" s="1"/>
  <c r="Z94"/>
  <c r="V63"/>
  <c r="Z95"/>
  <c r="AT126" i="5"/>
  <c r="V64" i="8" s="1"/>
  <c r="Z96"/>
  <c r="L96" s="1"/>
  <c r="AT130" i="5"/>
  <c r="V68" i="8" s="1"/>
  <c r="Z100"/>
  <c r="AT131" i="5"/>
  <c r="V69" i="8"/>
  <c r="Z101"/>
  <c r="AT132" i="5"/>
  <c r="V70" i="8"/>
  <c r="Z102"/>
  <c r="AT133" i="5"/>
  <c r="V71" i="8" s="1"/>
  <c r="Z103"/>
  <c r="L103" s="1"/>
  <c r="AX110" i="5"/>
  <c r="AW110"/>
  <c r="AY110"/>
  <c r="BA110"/>
  <c r="AZ110"/>
  <c r="BB110"/>
  <c r="X110"/>
  <c r="BK110" s="1"/>
  <c r="W110"/>
  <c r="BJ110" s="1"/>
  <c r="Y110"/>
  <c r="BL110" s="1"/>
  <c r="AA110"/>
  <c r="BN110" s="1"/>
  <c r="Z110"/>
  <c r="BM110" s="1"/>
  <c r="AB110"/>
  <c r="BO110" s="1"/>
  <c r="AH110"/>
  <c r="AI110"/>
  <c r="AK110"/>
  <c r="AJ110"/>
  <c r="AL110"/>
  <c r="AN110"/>
  <c r="AM110"/>
  <c r="AO110"/>
  <c r="AG110"/>
  <c r="T111"/>
  <c r="T128"/>
  <c r="P97" i="8"/>
  <c r="G128" i="5"/>
  <c r="F34" i="8"/>
  <c r="F66" s="1"/>
  <c r="P98"/>
  <c r="F17"/>
  <c r="F49" s="1"/>
  <c r="P81"/>
  <c r="AL83" i="5"/>
  <c r="AB83"/>
  <c r="H83"/>
  <c r="I83"/>
  <c r="G83"/>
  <c r="K83"/>
  <c r="K114" s="1"/>
  <c r="J83"/>
  <c r="J114" s="1"/>
  <c r="L83"/>
  <c r="L114" s="1"/>
  <c r="N83"/>
  <c r="N114" s="1"/>
  <c r="M83"/>
  <c r="M114" s="1"/>
  <c r="O83"/>
  <c r="O114" s="1"/>
  <c r="AV83"/>
  <c r="Q83"/>
  <c r="Q114" s="1"/>
  <c r="J20" i="8" s="1"/>
  <c r="J52" s="1"/>
  <c r="AU83" i="5"/>
  <c r="P83"/>
  <c r="P114" s="1"/>
  <c r="I20" i="8" s="1"/>
  <c r="I52" s="1"/>
  <c r="AV37" i="5"/>
  <c r="K18"/>
  <c r="J18"/>
  <c r="L18"/>
  <c r="N18"/>
  <c r="M18"/>
  <c r="O18"/>
  <c r="AL75"/>
  <c r="AC75"/>
  <c r="AB75"/>
  <c r="AV18"/>
  <c r="Q18"/>
  <c r="AU18"/>
  <c r="P18"/>
  <c r="AW18"/>
  <c r="R18"/>
  <c r="AW83"/>
  <c r="R83"/>
  <c r="R114" s="1"/>
  <c r="K20" i="8" s="1"/>
  <c r="K52" s="1"/>
  <c r="P4" i="5"/>
  <c r="R4"/>
  <c r="Q4"/>
  <c r="AV28"/>
  <c r="AV63"/>
  <c r="AV66"/>
  <c r="AV72"/>
  <c r="AV73"/>
  <c r="AL82"/>
  <c r="AL81"/>
  <c r="AB81"/>
  <c r="AL80"/>
  <c r="AC80"/>
  <c r="AB80"/>
  <c r="AL79"/>
  <c r="AC79"/>
  <c r="AB79" s="1"/>
  <c r="AL76"/>
  <c r="AB76"/>
  <c r="AL74"/>
  <c r="AL73"/>
  <c r="AB73"/>
  <c r="AL72"/>
  <c r="AB72"/>
  <c r="AL71"/>
  <c r="AB71"/>
  <c r="AL70"/>
  <c r="AB70"/>
  <c r="AL69"/>
  <c r="AB69"/>
  <c r="AL68"/>
  <c r="AB68"/>
  <c r="AL67"/>
  <c r="AC67"/>
  <c r="AB67" s="1"/>
  <c r="AL66"/>
  <c r="AB66"/>
  <c r="AL64"/>
  <c r="AB64"/>
  <c r="AL63"/>
  <c r="AB63"/>
  <c r="AL62"/>
  <c r="AB62"/>
  <c r="AL61"/>
  <c r="AB61"/>
  <c r="AL53"/>
  <c r="AB53"/>
  <c r="AL52"/>
  <c r="AB52"/>
  <c r="AL48"/>
  <c r="AB48"/>
  <c r="AL47"/>
  <c r="AB47"/>
  <c r="AL46"/>
  <c r="AB46"/>
  <c r="AL45"/>
  <c r="AB45"/>
  <c r="AL42"/>
  <c r="AB42"/>
  <c r="AL41"/>
  <c r="AB41"/>
  <c r="AL40"/>
  <c r="AB40"/>
  <c r="AL39"/>
  <c r="AB39"/>
  <c r="AL38"/>
  <c r="AB38"/>
  <c r="AL37"/>
  <c r="AB37"/>
  <c r="AL36"/>
  <c r="AB36"/>
  <c r="AL35"/>
  <c r="AC35"/>
  <c r="AA35"/>
  <c r="AB35" s="1"/>
  <c r="AL34"/>
  <c r="AB34"/>
  <c r="AL33"/>
  <c r="AC33"/>
  <c r="AB33"/>
  <c r="AL32"/>
  <c r="AC32"/>
  <c r="AB32" s="1"/>
  <c r="AL31"/>
  <c r="AB31"/>
  <c r="AL28"/>
  <c r="AB28"/>
  <c r="AL27"/>
  <c r="AB27"/>
  <c r="AL25"/>
  <c r="AB25"/>
  <c r="AL24"/>
  <c r="AB24"/>
  <c r="AL21"/>
  <c r="AB21"/>
  <c r="AL20"/>
  <c r="AB20"/>
  <c r="AL19"/>
  <c r="AB19"/>
  <c r="AL18"/>
  <c r="AB18"/>
  <c r="AL17"/>
  <c r="AB17"/>
  <c r="AL16"/>
  <c r="AB16"/>
  <c r="AL13"/>
  <c r="AB13"/>
  <c r="AL11"/>
  <c r="AB11"/>
  <c r="AL7"/>
  <c r="AB7"/>
  <c r="AL6"/>
  <c r="AB6"/>
  <c r="AL5"/>
  <c r="AB5"/>
  <c r="H18" i="8"/>
  <c r="H50" s="1"/>
  <c r="R82" s="1"/>
  <c r="H24"/>
  <c r="H56" s="1"/>
  <c r="R88" s="1"/>
  <c r="H26"/>
  <c r="H58" s="1"/>
  <c r="R90" s="1"/>
  <c r="H28"/>
  <c r="H60"/>
  <c r="R92" s="1"/>
  <c r="H29"/>
  <c r="H61"/>
  <c r="R93" s="1"/>
  <c r="H32"/>
  <c r="H64" s="1"/>
  <c r="R96" s="1"/>
  <c r="H38"/>
  <c r="H70" s="1"/>
  <c r="R102" s="1"/>
  <c r="H39"/>
  <c r="H71" s="1"/>
  <c r="R103" s="1"/>
  <c r="H38" i="9"/>
  <c r="F18" i="8"/>
  <c r="F50" s="1"/>
  <c r="P82"/>
  <c r="T18"/>
  <c r="AN82"/>
  <c r="P83"/>
  <c r="T19"/>
  <c r="AN83"/>
  <c r="G116" i="5"/>
  <c r="F22" i="8" s="1"/>
  <c r="F54" s="1"/>
  <c r="T116" i="5"/>
  <c r="M22" i="8" s="1"/>
  <c r="AG116" i="5"/>
  <c r="T22" i="8" s="1"/>
  <c r="P87"/>
  <c r="AN87"/>
  <c r="G118" i="5"/>
  <c r="F24" i="8"/>
  <c r="F56" s="1"/>
  <c r="P88"/>
  <c r="T118" i="5"/>
  <c r="AG118"/>
  <c r="T24" i="8" s="1"/>
  <c r="AN88"/>
  <c r="J88" s="1"/>
  <c r="G119" i="5"/>
  <c r="F25" i="8" s="1"/>
  <c r="F57" s="1"/>
  <c r="P89"/>
  <c r="T119" i="5"/>
  <c r="AG119"/>
  <c r="T25" i="8"/>
  <c r="AN89"/>
  <c r="J89" s="1"/>
  <c r="G120" i="5"/>
  <c r="F26" i="8"/>
  <c r="F58" s="1"/>
  <c r="P90"/>
  <c r="T120" i="5"/>
  <c r="AG120"/>
  <c r="T26" i="8" s="1"/>
  <c r="AN90"/>
  <c r="AN91"/>
  <c r="G122" i="5"/>
  <c r="F28" i="8" s="1"/>
  <c r="F60" s="1"/>
  <c r="P92"/>
  <c r="T122" i="5"/>
  <c r="AG122"/>
  <c r="T28" i="8"/>
  <c r="AN92"/>
  <c r="G123" i="5"/>
  <c r="F29" i="8"/>
  <c r="F61" s="1"/>
  <c r="P93"/>
  <c r="H93" s="1"/>
  <c r="O93" s="1"/>
  <c r="T123" i="5"/>
  <c r="M29" i="8" s="1"/>
  <c r="O29"/>
  <c r="AG123" i="5"/>
  <c r="T29" i="8"/>
  <c r="AN93"/>
  <c r="J93"/>
  <c r="G124" i="5"/>
  <c r="F30" i="8"/>
  <c r="F62" s="1"/>
  <c r="P94"/>
  <c r="T124" i="5"/>
  <c r="AG124"/>
  <c r="T30" i="8" s="1"/>
  <c r="AN94"/>
  <c r="F31"/>
  <c r="F63" s="1"/>
  <c r="P95"/>
  <c r="M31"/>
  <c r="T31"/>
  <c r="AN95"/>
  <c r="G126" i="5"/>
  <c r="F32" i="8"/>
  <c r="F64" s="1"/>
  <c r="P96"/>
  <c r="T126" i="5"/>
  <c r="AG126"/>
  <c r="T32" i="8" s="1"/>
  <c r="AN96"/>
  <c r="P100"/>
  <c r="T36"/>
  <c r="AN100"/>
  <c r="J100" s="1"/>
  <c r="P101"/>
  <c r="AN101"/>
  <c r="G132" i="5"/>
  <c r="F38" i="8" s="1"/>
  <c r="F70" s="1"/>
  <c r="P102"/>
  <c r="H102" s="1"/>
  <c r="O102" s="1"/>
  <c r="T132" i="5"/>
  <c r="AG132"/>
  <c r="T38" i="8"/>
  <c r="AN102"/>
  <c r="U38"/>
  <c r="G133" i="5"/>
  <c r="F39" i="8" s="1"/>
  <c r="F71" s="1"/>
  <c r="P103"/>
  <c r="T133" i="5"/>
  <c r="AG133"/>
  <c r="T39" i="8"/>
  <c r="AN103"/>
  <c r="H93" i="10"/>
  <c r="C93"/>
  <c r="H94"/>
  <c r="C94"/>
  <c r="H95"/>
  <c r="C95"/>
  <c r="H96"/>
  <c r="C96"/>
  <c r="I16" i="9"/>
  <c r="I17"/>
  <c r="I18"/>
  <c r="I22"/>
  <c r="I23"/>
  <c r="I24"/>
  <c r="I25"/>
  <c r="I26"/>
  <c r="I27"/>
  <c r="I30"/>
  <c r="I35"/>
  <c r="D58"/>
  <c r="S66"/>
  <c r="D82"/>
  <c r="T82" s="1"/>
  <c r="U82" s="1"/>
  <c r="V82" s="1"/>
  <c r="S82"/>
  <c r="S83"/>
  <c r="C118"/>
  <c r="C119"/>
  <c r="C120"/>
  <c r="C121"/>
  <c r="C122"/>
  <c r="M15" i="8"/>
  <c r="F16"/>
  <c r="F48" s="1"/>
  <c r="P80" s="1"/>
  <c r="G16"/>
  <c r="G48" s="1"/>
  <c r="Q80" s="1"/>
  <c r="H16"/>
  <c r="H48" s="1"/>
  <c r="R80" s="1"/>
  <c r="M16"/>
  <c r="N16"/>
  <c r="O16"/>
  <c r="T16"/>
  <c r="U16"/>
  <c r="V16"/>
  <c r="M17"/>
  <c r="G18"/>
  <c r="G50" s="1"/>
  <c r="M18"/>
  <c r="N18"/>
  <c r="O18"/>
  <c r="U18"/>
  <c r="U22"/>
  <c r="G24"/>
  <c r="G56" s="1"/>
  <c r="M24"/>
  <c r="N24"/>
  <c r="O24"/>
  <c r="U24"/>
  <c r="M25"/>
  <c r="G26"/>
  <c r="G58" s="1"/>
  <c r="M26"/>
  <c r="N26"/>
  <c r="O26"/>
  <c r="U26"/>
  <c r="G28"/>
  <c r="G60" s="1"/>
  <c r="M28"/>
  <c r="N28"/>
  <c r="O28"/>
  <c r="U28"/>
  <c r="G29"/>
  <c r="G61" s="1"/>
  <c r="N29"/>
  <c r="U29"/>
  <c r="M30"/>
  <c r="G32"/>
  <c r="G64" s="1"/>
  <c r="M32"/>
  <c r="N32"/>
  <c r="O32"/>
  <c r="U32"/>
  <c r="M34"/>
  <c r="G38"/>
  <c r="G70" s="1"/>
  <c r="M38"/>
  <c r="N38"/>
  <c r="O38"/>
  <c r="G39"/>
  <c r="G71" s="1"/>
  <c r="U39"/>
  <c r="I48"/>
  <c r="J48"/>
  <c r="T80" s="1"/>
  <c r="K48"/>
  <c r="S80"/>
  <c r="U80"/>
  <c r="D49"/>
  <c r="D81" s="1"/>
  <c r="D50"/>
  <c r="D82" s="1"/>
  <c r="W50"/>
  <c r="D51"/>
  <c r="D83" s="1"/>
  <c r="W51"/>
  <c r="D54"/>
  <c r="D86" s="1"/>
  <c r="D55"/>
  <c r="D87" s="1"/>
  <c r="D56"/>
  <c r="D88" s="1"/>
  <c r="W56"/>
  <c r="D57"/>
  <c r="D89" s="1"/>
  <c r="W57"/>
  <c r="D58"/>
  <c r="D90"/>
  <c r="W58"/>
  <c r="D59"/>
  <c r="D91" s="1"/>
  <c r="D60"/>
  <c r="D92"/>
  <c r="W60"/>
  <c r="D61"/>
  <c r="D93" s="1"/>
  <c r="W61"/>
  <c r="D62"/>
  <c r="D94" s="1"/>
  <c r="W62"/>
  <c r="D63"/>
  <c r="D95" s="1"/>
  <c r="D64"/>
  <c r="D96" s="1"/>
  <c r="W64"/>
  <c r="D65"/>
  <c r="D97" s="1"/>
  <c r="D66"/>
  <c r="D98" s="1"/>
  <c r="D68"/>
  <c r="D100" s="1"/>
  <c r="W68"/>
  <c r="D69"/>
  <c r="D101" s="1"/>
  <c r="W69"/>
  <c r="D70"/>
  <c r="D102" s="1"/>
  <c r="W70"/>
  <c r="D71"/>
  <c r="D103"/>
  <c r="W71"/>
  <c r="F76"/>
  <c r="D80"/>
  <c r="M16" i="10"/>
  <c r="K19"/>
  <c r="K20"/>
  <c r="K21"/>
  <c r="K22"/>
  <c r="M53"/>
  <c r="C56"/>
  <c r="K56"/>
  <c r="C57"/>
  <c r="K57"/>
  <c r="C58"/>
  <c r="K58"/>
  <c r="C59"/>
  <c r="K59"/>
  <c r="BP116" i="5"/>
  <c r="AF54" i="8" s="1"/>
  <c r="BC116" i="5"/>
  <c r="Y54" i="8" s="1"/>
  <c r="BP113" i="5"/>
  <c r="AF51" i="8"/>
  <c r="BC113" i="5"/>
  <c r="Y51" i="8"/>
  <c r="BP118" i="5"/>
  <c r="AF56" i="8"/>
  <c r="BC118" i="5"/>
  <c r="Y56" i="8"/>
  <c r="BP117" i="5"/>
  <c r="AF55" i="8"/>
  <c r="BC117" i="5"/>
  <c r="Y55" i="8" s="1"/>
  <c r="BP112" i="5"/>
  <c r="AF50" i="8" s="1"/>
  <c r="BC112" i="5"/>
  <c r="Y50" i="8" s="1"/>
  <c r="BR111" i="5"/>
  <c r="AH49" i="8" s="1"/>
  <c r="BR133" i="5"/>
  <c r="AH71" i="8" s="1"/>
  <c r="BE133" i="5"/>
  <c r="AA71" i="8" s="1"/>
  <c r="BR126" i="5"/>
  <c r="AH64" i="8"/>
  <c r="BE126" i="5"/>
  <c r="AA64" i="8"/>
  <c r="BR123" i="5"/>
  <c r="AH61" i="8" s="1"/>
  <c r="BE123" i="5"/>
  <c r="AA61" i="8" s="1"/>
  <c r="BE121" i="5"/>
  <c r="AA59" i="8"/>
  <c r="BE113" i="5"/>
  <c r="AA51" i="8" s="1"/>
  <c r="BO130" i="5"/>
  <c r="AZ111"/>
  <c r="BA111"/>
  <c r="AW67"/>
  <c r="R67" s="1"/>
  <c r="E37" i="9"/>
  <c r="X82" s="1"/>
  <c r="H82" s="1"/>
  <c r="BR130" i="5"/>
  <c r="AH68" i="8" s="1"/>
  <c r="BE130" i="5"/>
  <c r="AA68" i="8" s="1"/>
  <c r="BR116" i="5"/>
  <c r="AH54" i="8" s="1"/>
  <c r="BE116" i="5"/>
  <c r="AA54" i="8" s="1"/>
  <c r="BR112" i="5"/>
  <c r="AH50" i="8" s="1"/>
  <c r="BE112" i="5"/>
  <c r="AA50" i="8" s="1"/>
  <c r="BR118" i="5"/>
  <c r="AH56" i="8"/>
  <c r="BE118" i="5"/>
  <c r="AA56" i="8"/>
  <c r="BR121" i="5"/>
  <c r="AH59" i="8" s="1"/>
  <c r="BR113" i="5"/>
  <c r="AH51" i="8" s="1"/>
  <c r="AU47" i="5"/>
  <c r="P47" s="1"/>
  <c r="C36" i="9"/>
  <c r="C81" s="1"/>
  <c r="J32" i="8"/>
  <c r="J64" s="1"/>
  <c r="C51"/>
  <c r="C83" s="1"/>
  <c r="C50"/>
  <c r="C82" s="1"/>
  <c r="D81" i="9"/>
  <c r="T81" s="1"/>
  <c r="U81" s="1"/>
  <c r="V81" s="1"/>
  <c r="I36"/>
  <c r="D78"/>
  <c r="T78" s="1"/>
  <c r="I33"/>
  <c r="D76"/>
  <c r="T76" s="1"/>
  <c r="U76" s="1"/>
  <c r="V76" s="1"/>
  <c r="I31"/>
  <c r="C28"/>
  <c r="H28" s="1"/>
  <c r="C61" i="8"/>
  <c r="C93" s="1"/>
  <c r="C68"/>
  <c r="C100" s="1"/>
  <c r="C35" i="9"/>
  <c r="C80" s="1"/>
  <c r="C54" i="8"/>
  <c r="C86" s="1"/>
  <c r="I38" i="9"/>
  <c r="D83"/>
  <c r="T83" s="1"/>
  <c r="U83" s="1"/>
  <c r="V83" s="1"/>
  <c r="E38"/>
  <c r="X83" s="1"/>
  <c r="H83" s="1"/>
  <c r="D74"/>
  <c r="T74" s="1"/>
  <c r="U74" s="1"/>
  <c r="V74" s="1"/>
  <c r="I29"/>
  <c r="I28"/>
  <c r="C49" i="8"/>
  <c r="C81" s="1"/>
  <c r="H35" i="9"/>
  <c r="AU111" i="5"/>
  <c r="W49" i="8" s="1"/>
  <c r="BR125" i="5"/>
  <c r="AH63" i="8" s="1"/>
  <c r="BQ130" i="5"/>
  <c r="AG68" i="8" s="1"/>
  <c r="BD130" i="5"/>
  <c r="Z68" i="8" s="1"/>
  <c r="BQ125" i="5"/>
  <c r="AG63" i="8"/>
  <c r="BD125" i="5"/>
  <c r="Z63" i="8"/>
  <c r="BD123" i="5"/>
  <c r="Z61" i="8"/>
  <c r="BQ123" i="5"/>
  <c r="AG61" i="8"/>
  <c r="J26"/>
  <c r="J58" s="1"/>
  <c r="BQ120" i="5"/>
  <c r="AG58" i="8" s="1"/>
  <c r="BD120" i="5"/>
  <c r="Z58" i="8"/>
  <c r="BQ119" i="5"/>
  <c r="AG57" i="8"/>
  <c r="BD119" i="5"/>
  <c r="Z57" i="8"/>
  <c r="BD117" i="5"/>
  <c r="Z55" i="8" s="1"/>
  <c r="BQ112" i="5"/>
  <c r="AG50" i="8" s="1"/>
  <c r="BD112" i="5"/>
  <c r="Z50" i="8"/>
  <c r="BD126" i="5"/>
  <c r="Z64" i="8"/>
  <c r="BP124" i="5"/>
  <c r="AF62" i="8" s="1"/>
  <c r="BC124" i="5"/>
  <c r="Y62" i="8" s="1"/>
  <c r="AV111" i="5"/>
  <c r="X49" i="8" s="1"/>
  <c r="AB81" s="1"/>
  <c r="L81" s="1"/>
  <c r="BI127" i="5"/>
  <c r="AE65" i="8"/>
  <c r="AI97" s="1"/>
  <c r="BR124" i="5"/>
  <c r="AH62" i="8" s="1"/>
  <c r="BE124" i="5"/>
  <c r="AA62" i="8" s="1"/>
  <c r="Y30"/>
  <c r="BE120" i="5"/>
  <c r="AA58" i="8"/>
  <c r="BR120" i="5"/>
  <c r="AH58" i="8"/>
  <c r="BQ124" i="5"/>
  <c r="AG62" i="8" s="1"/>
  <c r="BQ122" i="5"/>
  <c r="AG60" i="8"/>
  <c r="BQ121" i="5"/>
  <c r="AG59" i="8" s="1"/>
  <c r="BD121" i="5"/>
  <c r="Z59" i="8" s="1"/>
  <c r="BQ116" i="5"/>
  <c r="AG54" i="8" s="1"/>
  <c r="BQ113" i="5"/>
  <c r="AG51" i="8"/>
  <c r="BD113" i="5"/>
  <c r="Z51" i="8"/>
  <c r="BQ111" i="5"/>
  <c r="AG49" i="8"/>
  <c r="AW80" i="5"/>
  <c r="R80"/>
  <c r="BR131" s="1"/>
  <c r="AH69" i="8" s="1"/>
  <c r="AW71" i="5"/>
  <c r="R71"/>
  <c r="AW47"/>
  <c r="R47"/>
  <c r="AW24"/>
  <c r="R24"/>
  <c r="C37" i="9"/>
  <c r="C82" s="1"/>
  <c r="C33"/>
  <c r="H33" s="1"/>
  <c r="C32"/>
  <c r="C77" s="1"/>
  <c r="C26"/>
  <c r="C71" s="1"/>
  <c r="C22"/>
  <c r="C67" s="1"/>
  <c r="H26"/>
  <c r="BR119" i="5"/>
  <c r="AH57" i="8" s="1"/>
  <c r="BE119" i="5"/>
  <c r="AA57" i="8" s="1"/>
  <c r="BD111" i="5"/>
  <c r="Z49" i="8"/>
  <c r="H36" i="9"/>
  <c r="BE122" i="5"/>
  <c r="AA60" i="8"/>
  <c r="BR122" i="5"/>
  <c r="AH60" i="8"/>
  <c r="BQ118" i="5"/>
  <c r="AG56" i="8" s="1"/>
  <c r="BD118" i="5"/>
  <c r="Z56" i="8" s="1"/>
  <c r="BO132" i="5"/>
  <c r="BA126"/>
  <c r="BQ126"/>
  <c r="AG64" i="8"/>
  <c r="C63"/>
  <c r="C95" s="1"/>
  <c r="C27" i="9"/>
  <c r="H27" s="1"/>
  <c r="C23"/>
  <c r="H23" s="1"/>
  <c r="BE131" i="5"/>
  <c r="AA69" i="8" s="1"/>
  <c r="X39"/>
  <c r="BD133" i="5"/>
  <c r="Z71" i="8"/>
  <c r="BQ133" i="5"/>
  <c r="AG71" i="8"/>
  <c r="BO126" i="5"/>
  <c r="BO127"/>
  <c r="BK127"/>
  <c r="BB130"/>
  <c r="BA130"/>
  <c r="BJ130"/>
  <c r="AW94"/>
  <c r="R94" s="1"/>
  <c r="BR132"/>
  <c r="AH70" i="8" s="1"/>
  <c r="BE132" i="5"/>
  <c r="AA70" i="8" s="1"/>
  <c r="BC128" i="5"/>
  <c r="Y66" i="8" s="1"/>
  <c r="BP128" i="5"/>
  <c r="AF66" i="8"/>
  <c r="I34"/>
  <c r="I66" s="1"/>
  <c r="BD131" i="5"/>
  <c r="Z69" i="8"/>
  <c r="BQ131" i="5"/>
  <c r="AG69" i="8"/>
  <c r="BQ127" i="5"/>
  <c r="AG65" i="8"/>
  <c r="BD127" i="5"/>
  <c r="Z65" i="8"/>
  <c r="BE111" i="5"/>
  <c r="AA49" i="8" s="1"/>
  <c r="BC111" i="5"/>
  <c r="Y49" i="8" s="1"/>
  <c r="I17"/>
  <c r="I49" s="1"/>
  <c r="X38"/>
  <c r="BQ132" i="5"/>
  <c r="AG70" i="8"/>
  <c r="BD132" i="5"/>
  <c r="Z70" i="8"/>
  <c r="BQ128" i="5"/>
  <c r="AG66" i="8" s="1"/>
  <c r="BD128" i="5"/>
  <c r="Z66" i="8"/>
  <c r="H32" i="9"/>
  <c r="BO131" i="5"/>
  <c r="BB126"/>
  <c r="N98" i="8"/>
  <c r="G38" i="9"/>
  <c r="W83" s="1"/>
  <c r="G83" s="1"/>
  <c r="F95" i="10"/>
  <c r="F93"/>
  <c r="F94"/>
  <c r="G94"/>
  <c r="F96"/>
  <c r="G95"/>
  <c r="E27" i="9"/>
  <c r="X72" s="1"/>
  <c r="H72" s="1"/>
  <c r="E25"/>
  <c r="X70" s="1"/>
  <c r="H70" s="1"/>
  <c r="E28"/>
  <c r="X73" s="1"/>
  <c r="H73" s="1"/>
  <c r="E24"/>
  <c r="X69" s="1"/>
  <c r="H69" s="1"/>
  <c r="E23"/>
  <c r="X68" s="1"/>
  <c r="H68" s="1"/>
  <c r="G96" i="10"/>
  <c r="I21" i="9"/>
  <c r="E21"/>
  <c r="G37"/>
  <c r="W82" s="1"/>
  <c r="G82" s="1"/>
  <c r="C78"/>
  <c r="I78" s="1"/>
  <c r="K78" s="1"/>
  <c r="C68"/>
  <c r="I68" s="1"/>
  <c r="K68" s="1"/>
  <c r="H25"/>
  <c r="H22"/>
  <c r="C72"/>
  <c r="I72" s="1"/>
  <c r="K72" s="1"/>
  <c r="C69"/>
  <c r="I69" s="1"/>
  <c r="K69" s="1"/>
  <c r="C73"/>
  <c r="I73" s="1"/>
  <c r="K73" s="1"/>
  <c r="E35"/>
  <c r="X80" s="1"/>
  <c r="H80" s="1"/>
  <c r="E26"/>
  <c r="X71" s="1"/>
  <c r="H71" s="1"/>
  <c r="I32"/>
  <c r="C63"/>
  <c r="I63" s="1"/>
  <c r="K63" s="1"/>
  <c r="H18"/>
  <c r="H37"/>
  <c r="H30"/>
  <c r="C75"/>
  <c r="U69" i="8"/>
  <c r="N101"/>
  <c r="H17" i="9"/>
  <c r="C62"/>
  <c r="N90" i="8"/>
  <c r="U58"/>
  <c r="U71"/>
  <c r="N103"/>
  <c r="C61" i="9"/>
  <c r="H16"/>
  <c r="N94" i="8"/>
  <c r="U62"/>
  <c r="N89"/>
  <c r="U57"/>
  <c r="U64"/>
  <c r="N96"/>
  <c r="N102"/>
  <c r="U70"/>
  <c r="G93" i="10"/>
  <c r="E22" i="9"/>
  <c r="X67" s="1"/>
  <c r="H67" s="1"/>
  <c r="E30"/>
  <c r="X75" s="1"/>
  <c r="H75" s="1"/>
  <c r="E29"/>
  <c r="X74" s="1"/>
  <c r="H74" s="1"/>
  <c r="E33"/>
  <c r="X78" s="1"/>
  <c r="H78" s="1"/>
  <c r="E31"/>
  <c r="X76" s="1"/>
  <c r="H76" s="1"/>
  <c r="E36"/>
  <c r="X81" s="1"/>
  <c r="H81" s="1"/>
  <c r="E32"/>
  <c r="X77" s="1"/>
  <c r="H77" s="1"/>
  <c r="G21"/>
  <c r="W66" s="1"/>
  <c r="G66" s="1"/>
  <c r="X66"/>
  <c r="H66" s="1"/>
  <c r="E19"/>
  <c r="X64" s="1"/>
  <c r="H64" s="1"/>
  <c r="E16"/>
  <c r="X61" s="1"/>
  <c r="H61" s="1"/>
  <c r="E18"/>
  <c r="X63" s="1"/>
  <c r="H63" s="1"/>
  <c r="E20"/>
  <c r="X65" s="1"/>
  <c r="H65" s="1"/>
  <c r="E17"/>
  <c r="X62" s="1"/>
  <c r="H62" s="1"/>
  <c r="K93" i="10"/>
  <c r="L93"/>
  <c r="K94"/>
  <c r="L94"/>
  <c r="K95"/>
  <c r="L95"/>
  <c r="K96"/>
  <c r="L96"/>
  <c r="I61" i="9"/>
  <c r="K61" s="1"/>
  <c r="I62"/>
  <c r="K62" s="1"/>
  <c r="I75"/>
  <c r="K75" s="1"/>
  <c r="K85" i="8"/>
  <c r="F93"/>
  <c r="J103"/>
  <c r="J82"/>
  <c r="L89"/>
  <c r="L87"/>
  <c r="L82"/>
  <c r="K81"/>
  <c r="K83"/>
  <c r="H92"/>
  <c r="O92" s="1"/>
  <c r="F92"/>
  <c r="H86"/>
  <c r="O86" s="1"/>
  <c r="L86"/>
  <c r="L85"/>
  <c r="L84"/>
  <c r="J86"/>
  <c r="F99" l="1"/>
  <c r="U67"/>
  <c r="N99"/>
  <c r="H99"/>
  <c r="O99" s="1"/>
  <c r="D79" i="9"/>
  <c r="T79" s="1"/>
  <c r="U79" s="1"/>
  <c r="V79" s="1"/>
  <c r="X79"/>
  <c r="H79" s="1"/>
  <c r="J102" i="8"/>
  <c r="C34" i="9"/>
  <c r="I34"/>
  <c r="G79"/>
  <c r="V80"/>
  <c r="V75"/>
  <c r="N95" i="8"/>
  <c r="U63"/>
  <c r="U51"/>
  <c r="N83"/>
  <c r="U56"/>
  <c r="N88"/>
  <c r="E62" i="9"/>
  <c r="E63"/>
  <c r="J94" i="8"/>
  <c r="F102"/>
  <c r="K103"/>
  <c r="K102"/>
  <c r="K101"/>
  <c r="K100"/>
  <c r="L93"/>
  <c r="J92"/>
  <c r="H103"/>
  <c r="O103" s="1"/>
  <c r="F103"/>
  <c r="N92"/>
  <c r="U60"/>
  <c r="N82"/>
  <c r="U50"/>
  <c r="U65"/>
  <c r="N97"/>
  <c r="U59"/>
  <c r="N91"/>
  <c r="U55"/>
  <c r="N87"/>
  <c r="K97"/>
  <c r="L101"/>
  <c r="K95"/>
  <c r="J90"/>
  <c r="L94"/>
  <c r="L102"/>
  <c r="L100"/>
  <c r="K94"/>
  <c r="K84"/>
  <c r="I67" i="9"/>
  <c r="K67" s="1"/>
  <c r="I77"/>
  <c r="K77" s="1"/>
  <c r="I82"/>
  <c r="K82" s="1"/>
  <c r="N81" i="8"/>
  <c r="U49"/>
  <c r="I80" i="9"/>
  <c r="K80" s="1"/>
  <c r="N93" i="8"/>
  <c r="U61"/>
  <c r="I81" i="9"/>
  <c r="K81" s="1"/>
  <c r="H90" i="8"/>
  <c r="O90" s="1"/>
  <c r="F90"/>
  <c r="H82"/>
  <c r="O82" s="1"/>
  <c r="F82"/>
  <c r="AP132" i="5"/>
  <c r="W38" i="8" s="1"/>
  <c r="AC132" i="5"/>
  <c r="P38" i="8" s="1"/>
  <c r="P132" i="5"/>
  <c r="I38" i="8" s="1"/>
  <c r="I70" s="1"/>
  <c r="BC132" i="5"/>
  <c r="Y70" i="8" s="1"/>
  <c r="BP132" i="5"/>
  <c r="AF70" i="8" s="1"/>
  <c r="AP126" i="5"/>
  <c r="W32" i="8" s="1"/>
  <c r="P126" i="5"/>
  <c r="I32" i="8" s="1"/>
  <c r="I64" s="1"/>
  <c r="AC126" i="5"/>
  <c r="P32" i="8" s="1"/>
  <c r="BC126" i="5"/>
  <c r="Y64" i="8" s="1"/>
  <c r="BP126" i="5"/>
  <c r="AF64" i="8" s="1"/>
  <c r="AP123" i="5"/>
  <c r="W29" i="8" s="1"/>
  <c r="P123" i="5"/>
  <c r="I29" i="8" s="1"/>
  <c r="I61" s="1"/>
  <c r="AC123" i="5"/>
  <c r="P29" i="8" s="1"/>
  <c r="BC123" i="5"/>
  <c r="Y61" i="8" s="1"/>
  <c r="BP123" i="5"/>
  <c r="AF61" i="8" s="1"/>
  <c r="AP121" i="5"/>
  <c r="W27" i="8" s="1"/>
  <c r="AC121" i="5"/>
  <c r="P27" i="8" s="1"/>
  <c r="P121" i="5"/>
  <c r="I27" i="8" s="1"/>
  <c r="I59" s="1"/>
  <c r="BC121" i="5"/>
  <c r="Y59" i="8" s="1"/>
  <c r="BP121" i="5"/>
  <c r="AF59" i="8" s="1"/>
  <c r="BC120" i="5"/>
  <c r="Y58" i="8" s="1"/>
  <c r="I71" i="9"/>
  <c r="K71" s="1"/>
  <c r="U54" i="8"/>
  <c r="N86"/>
  <c r="U68"/>
  <c r="N100"/>
  <c r="AP119" i="5"/>
  <c r="W25" i="8" s="1"/>
  <c r="AC119" i="5"/>
  <c r="P25" i="8" s="1"/>
  <c r="P119" i="5"/>
  <c r="I25" i="8" s="1"/>
  <c r="I57" s="1"/>
  <c r="BC119" i="5"/>
  <c r="Y57" i="8" s="1"/>
  <c r="BP119" i="5"/>
  <c r="AF57" i="8" s="1"/>
  <c r="BE127" i="5"/>
  <c r="AA65" i="8" s="1"/>
  <c r="BR127" i="5"/>
  <c r="AH65" i="8" s="1"/>
  <c r="H96"/>
  <c r="O96" s="1"/>
  <c r="F96"/>
  <c r="F88"/>
  <c r="H88"/>
  <c r="O88" s="1"/>
  <c r="AH128" i="5"/>
  <c r="U34" i="8" s="1"/>
  <c r="U128" i="5"/>
  <c r="N34" i="8" s="1"/>
  <c r="H128" i="5"/>
  <c r="G34" i="8" s="1"/>
  <c r="G66" s="1"/>
  <c r="BH128" i="5"/>
  <c r="AD66" i="8" s="1"/>
  <c r="AU128" i="5"/>
  <c r="W66" i="8" s="1"/>
  <c r="AP133" i="5"/>
  <c r="W39" i="8" s="1"/>
  <c r="P133" i="5"/>
  <c r="I39" i="8" s="1"/>
  <c r="I71" s="1"/>
  <c r="AC133" i="5"/>
  <c r="BP133"/>
  <c r="AF71" i="8" s="1"/>
  <c r="BC133" i="5"/>
  <c r="Y71" i="8" s="1"/>
  <c r="AP130" i="5"/>
  <c r="W36" i="8" s="1"/>
  <c r="P130" i="5"/>
  <c r="I36" i="8" s="1"/>
  <c r="I68" s="1"/>
  <c r="AC130" i="5"/>
  <c r="P36" i="8" s="1"/>
  <c r="BC130" i="5"/>
  <c r="Y68" i="8" s="1"/>
  <c r="BP130" i="5"/>
  <c r="AF68" i="8" s="1"/>
  <c r="AP127" i="5"/>
  <c r="W33" i="8" s="1"/>
  <c r="AC127" i="5"/>
  <c r="P33" i="8" s="1"/>
  <c r="P127" i="5"/>
  <c r="I33" i="8" s="1"/>
  <c r="I65" s="1"/>
  <c r="AP129" i="5"/>
  <c r="AC129"/>
  <c r="P129"/>
  <c r="BP127"/>
  <c r="AF65" i="8" s="1"/>
  <c r="BC127" i="5"/>
  <c r="Y65" i="8" s="1"/>
  <c r="AP122" i="5"/>
  <c r="W28" i="8" s="1"/>
  <c r="AC122" i="5"/>
  <c r="P28" i="8" s="1"/>
  <c r="P122" i="5"/>
  <c r="I28" i="8" s="1"/>
  <c r="I60" s="1"/>
  <c r="BP122" i="5"/>
  <c r="AF60" i="8" s="1"/>
  <c r="BC122" i="5"/>
  <c r="Y60" i="8" s="1"/>
  <c r="BP120" i="5"/>
  <c r="AF58" i="8" s="1"/>
  <c r="AR117" i="5"/>
  <c r="Y23" i="8" s="1"/>
  <c r="AE117" i="5"/>
  <c r="R23" i="8" s="1"/>
  <c r="R117" i="5"/>
  <c r="K23" i="8" s="1"/>
  <c r="K55" s="1"/>
  <c r="AR119" i="5"/>
  <c r="Y25" i="8" s="1"/>
  <c r="AE119" i="5"/>
  <c r="R25" i="8" s="1"/>
  <c r="R119" i="5"/>
  <c r="K25" i="8" s="1"/>
  <c r="K57" s="1"/>
  <c r="AG114" i="5"/>
  <c r="T20" i="8" s="1"/>
  <c r="T114" i="5"/>
  <c r="M20" i="8" s="1"/>
  <c r="G114" i="5"/>
  <c r="F20" i="8" s="1"/>
  <c r="F52" s="1"/>
  <c r="AH114" i="5"/>
  <c r="U20" i="8" s="1"/>
  <c r="H114" i="5"/>
  <c r="G20" i="8" s="1"/>
  <c r="G52" s="1"/>
  <c r="U114" i="5"/>
  <c r="N20" i="8" s="1"/>
  <c r="AH111" i="5"/>
  <c r="U17" i="8" s="1"/>
  <c r="U111" i="5"/>
  <c r="N17" i="8" s="1"/>
  <c r="H111" i="5"/>
  <c r="G17" i="8" s="1"/>
  <c r="G49" s="1"/>
  <c r="AO133" i="5"/>
  <c r="AB133"/>
  <c r="O133"/>
  <c r="AO130"/>
  <c r="AB130"/>
  <c r="O130"/>
  <c r="AO124"/>
  <c r="O124"/>
  <c r="AB124"/>
  <c r="AO122"/>
  <c r="O122"/>
  <c r="AB122"/>
  <c r="AO118"/>
  <c r="AB118"/>
  <c r="O118"/>
  <c r="AO117"/>
  <c r="O117"/>
  <c r="AB117"/>
  <c r="AO114"/>
  <c r="AB114"/>
  <c r="AO112"/>
  <c r="AB112"/>
  <c r="O112"/>
  <c r="AN111"/>
  <c r="AA111"/>
  <c r="N111"/>
  <c r="AL111"/>
  <c r="Y111"/>
  <c r="L111"/>
  <c r="AJ111"/>
  <c r="W111"/>
  <c r="J111"/>
  <c r="AK111"/>
  <c r="X111"/>
  <c r="K111"/>
  <c r="AM126"/>
  <c r="Z126"/>
  <c r="M126"/>
  <c r="AN126"/>
  <c r="N126"/>
  <c r="AA126"/>
  <c r="AL126"/>
  <c r="L126"/>
  <c r="Y126"/>
  <c r="AJ126"/>
  <c r="J126"/>
  <c r="W126"/>
  <c r="AK126"/>
  <c r="X126"/>
  <c r="K126"/>
  <c r="AM125"/>
  <c r="Z125"/>
  <c r="M125"/>
  <c r="AN125"/>
  <c r="AA125"/>
  <c r="N125"/>
  <c r="AM122"/>
  <c r="M122"/>
  <c r="Z122"/>
  <c r="AN122"/>
  <c r="AA122"/>
  <c r="N122"/>
  <c r="AL122"/>
  <c r="Y122"/>
  <c r="L122"/>
  <c r="AJ122"/>
  <c r="W122"/>
  <c r="J122"/>
  <c r="AK122"/>
  <c r="K122"/>
  <c r="X122"/>
  <c r="AM121"/>
  <c r="Z121"/>
  <c r="M121"/>
  <c r="AM120"/>
  <c r="Z120"/>
  <c r="M120"/>
  <c r="AN120"/>
  <c r="N120"/>
  <c r="AA120"/>
  <c r="AL120"/>
  <c r="L120"/>
  <c r="Y120"/>
  <c r="AJ120"/>
  <c r="J120"/>
  <c r="W120"/>
  <c r="AK120"/>
  <c r="X120"/>
  <c r="K120"/>
  <c r="AM119"/>
  <c r="M119"/>
  <c r="Z119"/>
  <c r="AN119"/>
  <c r="AA119"/>
  <c r="N119"/>
  <c r="AM117"/>
  <c r="M117"/>
  <c r="Z117"/>
  <c r="AN117"/>
  <c r="AA117"/>
  <c r="N117"/>
  <c r="AJ117"/>
  <c r="W117"/>
  <c r="J117"/>
  <c r="AM113"/>
  <c r="M113"/>
  <c r="Z113"/>
  <c r="AJ113"/>
  <c r="W113"/>
  <c r="J113"/>
  <c r="AM114"/>
  <c r="Z114"/>
  <c r="AN114"/>
  <c r="AA114"/>
  <c r="AL114"/>
  <c r="Y114"/>
  <c r="AJ114"/>
  <c r="W114"/>
  <c r="AK114"/>
  <c r="X114"/>
  <c r="AM131"/>
  <c r="Z131"/>
  <c r="M131"/>
  <c r="AN131"/>
  <c r="AA131"/>
  <c r="N131"/>
  <c r="AL131"/>
  <c r="Y131"/>
  <c r="L131"/>
  <c r="AJ131"/>
  <c r="W131"/>
  <c r="J131"/>
  <c r="AK131"/>
  <c r="X131"/>
  <c r="K131"/>
  <c r="AN130"/>
  <c r="N130"/>
  <c r="AA130"/>
  <c r="AK130"/>
  <c r="X130"/>
  <c r="K130"/>
  <c r="AO127"/>
  <c r="AB127"/>
  <c r="O127"/>
  <c r="AO129"/>
  <c r="AB129"/>
  <c r="O129"/>
  <c r="AM129"/>
  <c r="Z129"/>
  <c r="M129"/>
  <c r="AN127"/>
  <c r="AA127"/>
  <c r="N127"/>
  <c r="AN129"/>
  <c r="AA129"/>
  <c r="N129"/>
  <c r="AJ127"/>
  <c r="W127"/>
  <c r="J127"/>
  <c r="AW127"/>
  <c r="AW129"/>
  <c r="AJ129"/>
  <c r="W129"/>
  <c r="J129"/>
  <c r="AX127"/>
  <c r="AK127"/>
  <c r="X127"/>
  <c r="K127"/>
  <c r="AK129"/>
  <c r="X129"/>
  <c r="K129"/>
  <c r="AX129"/>
  <c r="AN128"/>
  <c r="AA128"/>
  <c r="N128"/>
  <c r="AL128"/>
  <c r="Y128"/>
  <c r="L128"/>
  <c r="AJ130"/>
  <c r="J130"/>
  <c r="W130"/>
  <c r="AH127"/>
  <c r="U33" i="8" s="1"/>
  <c r="U127" i="5"/>
  <c r="N33" i="8" s="1"/>
  <c r="H127" i="5"/>
  <c r="G33" i="8" s="1"/>
  <c r="G65" s="1"/>
  <c r="AU127" i="5"/>
  <c r="W65" i="8" s="1"/>
  <c r="AP124" i="5"/>
  <c r="W30" i="8" s="1"/>
  <c r="AC124" i="5"/>
  <c r="P30" i="8" s="1"/>
  <c r="P124" i="5"/>
  <c r="I30" i="8" s="1"/>
  <c r="I62" s="1"/>
  <c r="AR132" i="5"/>
  <c r="Y38" i="8" s="1"/>
  <c r="AE132" i="5"/>
  <c r="R38" i="8" s="1"/>
  <c r="R132" i="5"/>
  <c r="K38" i="8" s="1"/>
  <c r="K70" s="1"/>
  <c r="AR130" i="5"/>
  <c r="Y36" i="8" s="1"/>
  <c r="R130" i="5"/>
  <c r="K36" i="8" s="1"/>
  <c r="K68" s="1"/>
  <c r="AE130" i="5"/>
  <c r="R36" i="8" s="1"/>
  <c r="AR126" i="5"/>
  <c r="Y32" i="8" s="1"/>
  <c r="R126" i="5"/>
  <c r="K32" i="8" s="1"/>
  <c r="K64" s="1"/>
  <c r="AE126" i="5"/>
  <c r="R32" i="8" s="1"/>
  <c r="AR116" i="5"/>
  <c r="Y22" i="8" s="1"/>
  <c r="R116" i="5"/>
  <c r="K22" i="8" s="1"/>
  <c r="K54" s="1"/>
  <c r="AE116" i="5"/>
  <c r="R22" i="8" s="1"/>
  <c r="AR113" i="5"/>
  <c r="Y19" i="8" s="1"/>
  <c r="AE113" i="5"/>
  <c r="R19" i="8" s="1"/>
  <c r="R113" i="5"/>
  <c r="K19" i="8" s="1"/>
  <c r="K51" s="1"/>
  <c r="AH119" i="5"/>
  <c r="U25" i="8" s="1"/>
  <c r="U119" i="5"/>
  <c r="N25" i="8" s="1"/>
  <c r="H119" i="5"/>
  <c r="G25" i="8" s="1"/>
  <c r="G57" s="1"/>
  <c r="AR118" i="5"/>
  <c r="Y24" i="8" s="1"/>
  <c r="R118" i="5"/>
  <c r="K24" i="8" s="1"/>
  <c r="K56" s="1"/>
  <c r="AE118" i="5"/>
  <c r="R24" i="8" s="1"/>
  <c r="AR123" i="5"/>
  <c r="Y29" i="8" s="1"/>
  <c r="R123" i="5"/>
  <c r="K29" i="8" s="1"/>
  <c r="K61" s="1"/>
  <c r="AE123" i="5"/>
  <c r="R29" i="8" s="1"/>
  <c r="AQ130" i="5"/>
  <c r="X36" i="8" s="1"/>
  <c r="AD130" i="5"/>
  <c r="Q36" i="8" s="1"/>
  <c r="Q130" i="5"/>
  <c r="J36" i="8" s="1"/>
  <c r="J68" s="1"/>
  <c r="AQ121" i="5"/>
  <c r="X27" i="8" s="1"/>
  <c r="AD121" i="5"/>
  <c r="Q27" i="8" s="1"/>
  <c r="Q121" i="5"/>
  <c r="J27" i="8" s="1"/>
  <c r="J59" s="1"/>
  <c r="AQ118" i="5"/>
  <c r="X24" i="8" s="1"/>
  <c r="AD118" i="5"/>
  <c r="Q24" i="8" s="1"/>
  <c r="Q118" i="5"/>
  <c r="J24" i="8" s="1"/>
  <c r="J56" s="1"/>
  <c r="AQ117" i="5"/>
  <c r="X23" i="8" s="1"/>
  <c r="Q117" i="5"/>
  <c r="J23" i="8" s="1"/>
  <c r="J55" s="1"/>
  <c r="AD117" i="5"/>
  <c r="Q23" i="8" s="1"/>
  <c r="BQ117" i="5"/>
  <c r="AG55" i="8" s="1"/>
  <c r="AQ114" i="5"/>
  <c r="X20" i="8" s="1"/>
  <c r="AD114" i="5"/>
  <c r="Q20" i="8" s="1"/>
  <c r="AH113" i="5"/>
  <c r="U19" i="8" s="1"/>
  <c r="U113" i="5"/>
  <c r="N19" i="8" s="1"/>
  <c r="H113" i="5"/>
  <c r="G19" i="8" s="1"/>
  <c r="G51" s="1"/>
  <c r="AR115" i="5"/>
  <c r="Y21" i="8" s="1"/>
  <c r="AE115" i="5"/>
  <c r="R21" i="8" s="1"/>
  <c r="R115" i="5"/>
  <c r="K21" i="8" s="1"/>
  <c r="K53" s="1"/>
  <c r="AH115" i="5"/>
  <c r="U21" i="8" s="1"/>
  <c r="U115" i="5"/>
  <c r="N21" i="8" s="1"/>
  <c r="H115" i="5"/>
  <c r="G21" i="8" s="1"/>
  <c r="G53" s="1"/>
  <c r="AU129" i="5"/>
  <c r="AH129"/>
  <c r="U129"/>
  <c r="H129"/>
  <c r="AH131"/>
  <c r="U37" i="8" s="1"/>
  <c r="U131" i="5"/>
  <c r="N37" i="8" s="1"/>
  <c r="H131" i="5"/>
  <c r="G37" i="8" s="1"/>
  <c r="G69" s="1"/>
  <c r="AH117" i="5"/>
  <c r="U23" i="8" s="1"/>
  <c r="U117" i="5"/>
  <c r="N23" i="8" s="1"/>
  <c r="H117" i="5"/>
  <c r="G23" i="8" s="1"/>
  <c r="G55" s="1"/>
  <c r="R128" i="5"/>
  <c r="K34" i="8" s="1"/>
  <c r="K66" s="1"/>
  <c r="AW84" i="5"/>
  <c r="R84" s="1"/>
  <c r="AI114"/>
  <c r="V20" i="8" s="1"/>
  <c r="AP84" s="1"/>
  <c r="J84" s="1"/>
  <c r="V114" i="5"/>
  <c r="O20" i="8" s="1"/>
  <c r="I114" i="5"/>
  <c r="H20" i="8" s="1"/>
  <c r="H52" s="1"/>
  <c r="R84" s="1"/>
  <c r="AO132" i="5"/>
  <c r="O132"/>
  <c r="AB132"/>
  <c r="AO131"/>
  <c r="AB131"/>
  <c r="O131"/>
  <c r="AO126"/>
  <c r="AB126"/>
  <c r="O126"/>
  <c r="AO125"/>
  <c r="AB125"/>
  <c r="O125"/>
  <c r="AO123"/>
  <c r="AB123"/>
  <c r="O123"/>
  <c r="AO121"/>
  <c r="AB121"/>
  <c r="O121"/>
  <c r="AO120"/>
  <c r="AB120"/>
  <c r="O120"/>
  <c r="AO119"/>
  <c r="O119"/>
  <c r="AB119"/>
  <c r="AO116"/>
  <c r="AB116"/>
  <c r="O116"/>
  <c r="AO113"/>
  <c r="O113"/>
  <c r="AB113"/>
  <c r="AO111"/>
  <c r="AB111"/>
  <c r="O111"/>
  <c r="AM124"/>
  <c r="M124"/>
  <c r="Z124"/>
  <c r="AN124"/>
  <c r="AA124"/>
  <c r="N124"/>
  <c r="AL124"/>
  <c r="Y124"/>
  <c r="L124"/>
  <c r="AK124"/>
  <c r="K124"/>
  <c r="X124"/>
  <c r="AM123"/>
  <c r="Z123"/>
  <c r="M123"/>
  <c r="AN123"/>
  <c r="N123"/>
  <c r="AA123"/>
  <c r="AL123"/>
  <c r="L123"/>
  <c r="Y123"/>
  <c r="AJ123"/>
  <c r="J123"/>
  <c r="W123"/>
  <c r="AN121"/>
  <c r="AA121"/>
  <c r="N121"/>
  <c r="AL121"/>
  <c r="Y121"/>
  <c r="L121"/>
  <c r="AJ121"/>
  <c r="W121"/>
  <c r="J121"/>
  <c r="AW121"/>
  <c r="AX121"/>
  <c r="AK121"/>
  <c r="X121"/>
  <c r="K121"/>
  <c r="AL119"/>
  <c r="Y119"/>
  <c r="L119"/>
  <c r="AJ119"/>
  <c r="W119"/>
  <c r="J119"/>
  <c r="AK119"/>
  <c r="K119"/>
  <c r="X119"/>
  <c r="AM118"/>
  <c r="Z118"/>
  <c r="M118"/>
  <c r="AN118"/>
  <c r="N118"/>
  <c r="AA118"/>
  <c r="AL118"/>
  <c r="L118"/>
  <c r="Y118"/>
  <c r="AJ118"/>
  <c r="J118"/>
  <c r="W118"/>
  <c r="AK118"/>
  <c r="X118"/>
  <c r="K118"/>
  <c r="AL117"/>
  <c r="Y117"/>
  <c r="L117"/>
  <c r="AK117"/>
  <c r="K117"/>
  <c r="X117"/>
  <c r="AM116"/>
  <c r="Z116"/>
  <c r="M116"/>
  <c r="AN116"/>
  <c r="N116"/>
  <c r="AA116"/>
  <c r="AL116"/>
  <c r="L116"/>
  <c r="Y116"/>
  <c r="AJ116"/>
  <c r="J116"/>
  <c r="W116"/>
  <c r="AK116"/>
  <c r="X116"/>
  <c r="K116"/>
  <c r="AN113"/>
  <c r="AA113"/>
  <c r="N113"/>
  <c r="AL113"/>
  <c r="Y113"/>
  <c r="L113"/>
  <c r="AK113"/>
  <c r="K113"/>
  <c r="X113"/>
  <c r="AM112"/>
  <c r="Z112"/>
  <c r="M112"/>
  <c r="AN112"/>
  <c r="AA112"/>
  <c r="N112"/>
  <c r="AL112"/>
  <c r="Y112"/>
  <c r="L112"/>
  <c r="AJ112"/>
  <c r="W112"/>
  <c r="J112"/>
  <c r="AK112"/>
  <c r="X112"/>
  <c r="K112"/>
  <c r="AM133"/>
  <c r="Z133"/>
  <c r="M133"/>
  <c r="AM132"/>
  <c r="M132"/>
  <c r="Z132"/>
  <c r="AN132"/>
  <c r="AA132"/>
  <c r="N132"/>
  <c r="AL132"/>
  <c r="Y132"/>
  <c r="L132"/>
  <c r="AJ132"/>
  <c r="W132"/>
  <c r="J132"/>
  <c r="AK132"/>
  <c r="K132"/>
  <c r="X132"/>
  <c r="AM130"/>
  <c r="Z130"/>
  <c r="M130"/>
  <c r="AL130"/>
  <c r="L130"/>
  <c r="Y130"/>
  <c r="AM127"/>
  <c r="Z127"/>
  <c r="M127"/>
  <c r="AL127"/>
  <c r="Y127"/>
  <c r="L127"/>
  <c r="AL129"/>
  <c r="Y129"/>
  <c r="L129"/>
  <c r="AO128"/>
  <c r="O128"/>
  <c r="AB128"/>
  <c r="AM128"/>
  <c r="M128"/>
  <c r="Z128"/>
  <c r="AJ128"/>
  <c r="W128"/>
  <c r="J128"/>
  <c r="AK128"/>
  <c r="K128"/>
  <c r="X128"/>
  <c r="AT127"/>
  <c r="V65" i="8" s="1"/>
  <c r="AG127" i="5"/>
  <c r="T33" i="8" s="1"/>
  <c r="T127" i="5"/>
  <c r="M33" i="8" s="1"/>
  <c r="G127" i="5"/>
  <c r="F33" i="8" s="1"/>
  <c r="F65" s="1"/>
  <c r="AP125" i="5"/>
  <c r="W31" i="8" s="1"/>
  <c r="AC125" i="5"/>
  <c r="P31" i="8" s="1"/>
  <c r="P125" i="5"/>
  <c r="I31" i="8" s="1"/>
  <c r="I63" s="1"/>
  <c r="AP120" i="5"/>
  <c r="W26" i="8" s="1"/>
  <c r="P120" i="5"/>
  <c r="I26" i="8" s="1"/>
  <c r="I58" s="1"/>
  <c r="AC120" i="5"/>
  <c r="P26" i="8" s="1"/>
  <c r="AP118" i="5"/>
  <c r="W24" i="8" s="1"/>
  <c r="P118" i="5"/>
  <c r="I24" i="8" s="1"/>
  <c r="I56" s="1"/>
  <c r="AC118" i="5"/>
  <c r="P24" i="8" s="1"/>
  <c r="AP117" i="5"/>
  <c r="W23" i="8" s="1"/>
  <c r="AC117" i="5"/>
  <c r="P23" i="8" s="1"/>
  <c r="P117" i="5"/>
  <c r="I23" i="8" s="1"/>
  <c r="I55" s="1"/>
  <c r="AP116" i="5"/>
  <c r="W22" i="8" s="1"/>
  <c r="P116" i="5"/>
  <c r="I22" i="8" s="1"/>
  <c r="I54" s="1"/>
  <c r="AC116" i="5"/>
  <c r="P22" i="8" s="1"/>
  <c r="AP113" i="5"/>
  <c r="W19" i="8" s="1"/>
  <c r="AC113" i="5"/>
  <c r="P19" i="8" s="1"/>
  <c r="P113" i="5"/>
  <c r="I19" i="8" s="1"/>
  <c r="I51" s="1"/>
  <c r="AP114" i="5"/>
  <c r="W20" i="8" s="1"/>
  <c r="AC114" i="5"/>
  <c r="P20" i="8" s="1"/>
  <c r="AP112" i="5"/>
  <c r="W18" i="8" s="1"/>
  <c r="AC112" i="5"/>
  <c r="P18" i="8" s="1"/>
  <c r="P112" i="5"/>
  <c r="I18" i="8" s="1"/>
  <c r="I50" s="1"/>
  <c r="AR133" i="5"/>
  <c r="Y39" i="8" s="1"/>
  <c r="R133" i="5"/>
  <c r="K39" i="8" s="1"/>
  <c r="K71" s="1"/>
  <c r="AE133" i="5"/>
  <c r="AR129"/>
  <c r="AE129"/>
  <c r="R129"/>
  <c r="AR121"/>
  <c r="Y27" i="8" s="1"/>
  <c r="AE121" i="5"/>
  <c r="R27" i="8" s="1"/>
  <c r="R121" i="5"/>
  <c r="K27" i="8" s="1"/>
  <c r="K59" s="1"/>
  <c r="AH124" i="5"/>
  <c r="U30" i="8" s="1"/>
  <c r="U124" i="5"/>
  <c r="N30" i="8" s="1"/>
  <c r="H124" i="5"/>
  <c r="G30" i="8" s="1"/>
  <c r="G62" s="1"/>
  <c r="AH121" i="5"/>
  <c r="U27" i="8" s="1"/>
  <c r="U121" i="5"/>
  <c r="N27" i="8" s="1"/>
  <c r="H121" i="5"/>
  <c r="G27" i="8" s="1"/>
  <c r="G59" s="1"/>
  <c r="AU121" i="5"/>
  <c r="W59" i="8" s="1"/>
  <c r="AR111" i="5"/>
  <c r="Y17" i="8" s="1"/>
  <c r="AE111" i="5"/>
  <c r="R17" i="8" s="1"/>
  <c r="R111" i="5"/>
  <c r="K17" i="8" s="1"/>
  <c r="K49" s="1"/>
  <c r="AR122" i="5"/>
  <c r="Y28" i="8" s="1"/>
  <c r="AE122" i="5"/>
  <c r="R28" i="8" s="1"/>
  <c r="R122" i="5"/>
  <c r="K28" i="8" s="1"/>
  <c r="K60" s="1"/>
  <c r="AR112" i="5"/>
  <c r="Y18" i="8" s="1"/>
  <c r="R112" i="5"/>
  <c r="K18" i="8" s="1"/>
  <c r="K50" s="1"/>
  <c r="AE112" i="5"/>
  <c r="R18" i="8" s="1"/>
  <c r="AR114" i="5"/>
  <c r="Y20" i="8" s="1"/>
  <c r="AE114" i="5"/>
  <c r="R20" i="8" s="1"/>
  <c r="AP131" i="5"/>
  <c r="W37" i="8" s="1"/>
  <c r="AC131" i="5"/>
  <c r="P37" i="8" s="1"/>
  <c r="P131" i="5"/>
  <c r="I37" i="8" s="1"/>
  <c r="I69" s="1"/>
  <c r="AQ128" i="5"/>
  <c r="X34" i="8" s="1"/>
  <c r="Q128" i="5"/>
  <c r="J34" i="8" s="1"/>
  <c r="J66" s="1"/>
  <c r="AD128" i="5"/>
  <c r="Q34" i="8" s="1"/>
  <c r="AQ127" i="5"/>
  <c r="X33" i="8" s="1"/>
  <c r="AD127" i="5"/>
  <c r="Q33" i="8" s="1"/>
  <c r="Q127" i="5"/>
  <c r="J33" i="8" s="1"/>
  <c r="J65" s="1"/>
  <c r="AQ129" i="5"/>
  <c r="AD129"/>
  <c r="Q129"/>
  <c r="AQ124"/>
  <c r="X30" i="8" s="1"/>
  <c r="Q124" i="5"/>
  <c r="J30" i="8" s="1"/>
  <c r="J62" s="1"/>
  <c r="BD124" i="5"/>
  <c r="Z62" i="8" s="1"/>
  <c r="AD124" i="5"/>
  <c r="Q30" i="8" s="1"/>
  <c r="AQ123" i="5"/>
  <c r="X29" i="8" s="1"/>
  <c r="AD123" i="5"/>
  <c r="Q29" i="8" s="1"/>
  <c r="Q123" i="5"/>
  <c r="J29" i="8" s="1"/>
  <c r="J61" s="1"/>
  <c r="AQ122" i="5"/>
  <c r="X28" i="8" s="1"/>
  <c r="Q122" i="5"/>
  <c r="J28" i="8" s="1"/>
  <c r="J60" s="1"/>
  <c r="BD122" i="5"/>
  <c r="Z60" i="8" s="1"/>
  <c r="AD122" i="5"/>
  <c r="Q28" i="8" s="1"/>
  <c r="AQ113" i="5"/>
  <c r="X19" i="8" s="1"/>
  <c r="Q113" i="5"/>
  <c r="J19" i="8" s="1"/>
  <c r="J51" s="1"/>
  <c r="AD113" i="5"/>
  <c r="Q19" i="8" s="1"/>
  <c r="AQ112" i="5"/>
  <c r="X18" i="8" s="1"/>
  <c r="AD112" i="5"/>
  <c r="Q18" i="8" s="1"/>
  <c r="Q112" i="5"/>
  <c r="J18" i="8" s="1"/>
  <c r="J50" s="1"/>
  <c r="AQ111" i="5"/>
  <c r="X17" i="8" s="1"/>
  <c r="AD111" i="5"/>
  <c r="Q17" i="8" s="1"/>
  <c r="Q111" i="5"/>
  <c r="J17" i="8" s="1"/>
  <c r="J49" s="1"/>
  <c r="AH130" i="5"/>
  <c r="U36" i="8" s="1"/>
  <c r="H130" i="5"/>
  <c r="G36" i="8" s="1"/>
  <c r="G68" s="1"/>
  <c r="U130" i="5"/>
  <c r="N36" i="8" s="1"/>
  <c r="AL115" i="5"/>
  <c r="Y115"/>
  <c r="L115"/>
  <c r="AO115"/>
  <c r="O115"/>
  <c r="AB115"/>
  <c r="E61" i="9"/>
  <c r="BR117" i="5"/>
  <c r="AH55" i="8" s="1"/>
  <c r="BE117" i="5"/>
  <c r="AA55" i="8" s="1"/>
  <c r="BO133" i="5"/>
  <c r="BB133"/>
  <c r="BB124"/>
  <c r="BB122"/>
  <c r="BB120"/>
  <c r="BB118"/>
  <c r="BB112"/>
  <c r="BL111"/>
  <c r="BJ111"/>
  <c r="BK111"/>
  <c r="BM126"/>
  <c r="BN126"/>
  <c r="BL126"/>
  <c r="BJ126"/>
  <c r="BK126"/>
  <c r="BM125"/>
  <c r="BN125"/>
  <c r="BM122"/>
  <c r="BN122"/>
  <c r="BL122"/>
  <c r="BJ122"/>
  <c r="BK122"/>
  <c r="BM121"/>
  <c r="BN120"/>
  <c r="BL120"/>
  <c r="BJ120"/>
  <c r="BK120"/>
  <c r="BM119"/>
  <c r="BN119"/>
  <c r="BN117"/>
  <c r="BN131"/>
  <c r="BL131"/>
  <c r="BJ131"/>
  <c r="BK131"/>
  <c r="BM127"/>
  <c r="BN127"/>
  <c r="BL128"/>
  <c r="BH127"/>
  <c r="AD65" i="8" s="1"/>
  <c r="Q116" i="5"/>
  <c r="J22" i="8" s="1"/>
  <c r="J54" s="1"/>
  <c r="AI111" i="5"/>
  <c r="V17" i="8" s="1"/>
  <c r="AP81" s="1"/>
  <c r="J81" s="1"/>
  <c r="V111" i="5"/>
  <c r="O17" i="8" s="1"/>
  <c r="AI125" i="5"/>
  <c r="V31" i="8" s="1"/>
  <c r="AP95" s="1"/>
  <c r="J95" s="1"/>
  <c r="V125" i="5"/>
  <c r="O31" i="8" s="1"/>
  <c r="I125" i="5"/>
  <c r="H31" i="8" s="1"/>
  <c r="H63" s="1"/>
  <c r="R95" s="1"/>
  <c r="AV125" i="5"/>
  <c r="X63" i="8" s="1"/>
  <c r="AB95" s="1"/>
  <c r="L95" s="1"/>
  <c r="H21" i="9"/>
  <c r="C66"/>
  <c r="AG131" i="5"/>
  <c r="T37" i="8" s="1"/>
  <c r="T131" i="5"/>
  <c r="M37" i="8" s="1"/>
  <c r="G131" i="5"/>
  <c r="F37" i="8" s="1"/>
  <c r="F69" s="1"/>
  <c r="AI129" i="5"/>
  <c r="V129"/>
  <c r="I129"/>
  <c r="AV129"/>
  <c r="AT121"/>
  <c r="V59" i="8" s="1"/>
  <c r="AG121" i="5"/>
  <c r="T27" i="8" s="1"/>
  <c r="T121" i="5"/>
  <c r="M27" i="8" s="1"/>
  <c r="G121" i="5"/>
  <c r="F27" i="8" s="1"/>
  <c r="F59" s="1"/>
  <c r="AG117" i="5"/>
  <c r="T23" i="8" s="1"/>
  <c r="AL125" i="5"/>
  <c r="Y125"/>
  <c r="L125"/>
  <c r="AI131"/>
  <c r="V37" i="8" s="1"/>
  <c r="AP101" s="1"/>
  <c r="V131" i="5"/>
  <c r="O37" i="8" s="1"/>
  <c r="I131" i="5"/>
  <c r="H37" i="8" s="1"/>
  <c r="H69" s="1"/>
  <c r="R101" s="1"/>
  <c r="AT129" i="5"/>
  <c r="AG129"/>
  <c r="T129"/>
  <c r="G129"/>
  <c r="C64" i="9"/>
  <c r="H19"/>
  <c r="C31"/>
  <c r="C29"/>
  <c r="BD116" i="5"/>
  <c r="Z54" i="8" s="1"/>
  <c r="AI113" i="5"/>
  <c r="V19" i="8" s="1"/>
  <c r="AP83" s="1"/>
  <c r="J83" s="1"/>
  <c r="AQ115" i="5"/>
  <c r="X21" i="8" s="1"/>
  <c r="AM115" i="5"/>
  <c r="AI115"/>
  <c r="V21" i="8" s="1"/>
  <c r="AP85" s="1"/>
  <c r="J85" s="1"/>
  <c r="AI117" i="5"/>
  <c r="V23" i="8" s="1"/>
  <c r="AP87" s="1"/>
  <c r="J87" s="1"/>
  <c r="AI107" i="5"/>
  <c r="G113"/>
  <c r="F19" i="8" s="1"/>
  <c r="F51" s="1"/>
  <c r="G117" i="5"/>
  <c r="F23" i="8" s="1"/>
  <c r="F55" s="1"/>
  <c r="Q133" i="5"/>
  <c r="J39" i="8" s="1"/>
  <c r="J71" s="1"/>
  <c r="I130" i="5"/>
  <c r="H36" i="8" s="1"/>
  <c r="H68" s="1"/>
  <c r="R100" s="1"/>
  <c r="R124" i="5"/>
  <c r="K30" i="8" s="1"/>
  <c r="K62" s="1"/>
  <c r="J124" i="5"/>
  <c r="T113"/>
  <c r="M19" i="8" s="1"/>
  <c r="AD132" i="5"/>
  <c r="Q38" i="8" s="1"/>
  <c r="V128" i="5"/>
  <c r="O34" i="8" s="1"/>
  <c r="V124" i="5"/>
  <c r="O30" i="8" s="1"/>
  <c r="V119" i="5"/>
  <c r="O25" i="8" s="1"/>
  <c r="V117" i="5"/>
  <c r="O23" i="8" s="1"/>
  <c r="AD115" i="5"/>
  <c r="Q21" i="8" s="1"/>
  <c r="Z115" i="5"/>
  <c r="V115"/>
  <c r="O21" i="8" s="1"/>
  <c r="V113" i="5"/>
  <c r="O19" i="8" s="1"/>
  <c r="AV127" i="5"/>
  <c r="X65" i="8" s="1"/>
  <c r="AB97" s="1"/>
  <c r="L97" s="1"/>
  <c r="AI127" i="5"/>
  <c r="V33" i="8" s="1"/>
  <c r="AP97" s="1"/>
  <c r="V127" i="5"/>
  <c r="O33" i="8" s="1"/>
  <c r="I127" i="5"/>
  <c r="H33" i="8" s="1"/>
  <c r="H65" s="1"/>
  <c r="R97" s="1"/>
  <c r="AR131" i="5"/>
  <c r="Y37" i="8" s="1"/>
  <c r="AE131" i="5"/>
  <c r="R37" i="8" s="1"/>
  <c r="R131" i="5"/>
  <c r="K37" i="8" s="1"/>
  <c r="K69" s="1"/>
  <c r="AR127" i="5"/>
  <c r="Y33" i="8" s="1"/>
  <c r="AE127" i="5"/>
  <c r="R33" i="8" s="1"/>
  <c r="R127" i="5"/>
  <c r="K33" i="8" s="1"/>
  <c r="K65" s="1"/>
  <c r="AR125" i="5"/>
  <c r="Y31" i="8" s="1"/>
  <c r="AE125" i="5"/>
  <c r="R31" i="8" s="1"/>
  <c r="R125" i="5"/>
  <c r="K31" i="8" s="1"/>
  <c r="K63" s="1"/>
  <c r="AV121" i="5"/>
  <c r="X59" i="8" s="1"/>
  <c r="AB91" s="1"/>
  <c r="L91" s="1"/>
  <c r="AI121" i="5"/>
  <c r="V27" i="8" s="1"/>
  <c r="AP91" s="1"/>
  <c r="J91" s="1"/>
  <c r="V121" i="5"/>
  <c r="O27" i="8" s="1"/>
  <c r="I121" i="5"/>
  <c r="H27" i="8" s="1"/>
  <c r="H59" s="1"/>
  <c r="R91" s="1"/>
  <c r="F91" s="1"/>
  <c r="AM111" i="5"/>
  <c r="Z111"/>
  <c r="AU125"/>
  <c r="W63" i="8" s="1"/>
  <c r="AH125" i="5"/>
  <c r="U31" i="8" s="1"/>
  <c r="U125" i="5"/>
  <c r="N31" i="8" s="1"/>
  <c r="H125" i="5"/>
  <c r="G31" i="8" s="1"/>
  <c r="G63" s="1"/>
  <c r="AP111" i="5"/>
  <c r="W17" i="8" s="1"/>
  <c r="AC111" i="5"/>
  <c r="P17" i="8" s="1"/>
  <c r="AQ131" i="5"/>
  <c r="X37" i="8" s="1"/>
  <c r="AD131" i="5"/>
  <c r="Q37" i="8" s="1"/>
  <c r="Q131" i="5"/>
  <c r="J37" i="8" s="1"/>
  <c r="J69" s="1"/>
  <c r="AQ125" i="5"/>
  <c r="X31" i="8" s="1"/>
  <c r="AD125" i="5"/>
  <c r="Q31" i="8" s="1"/>
  <c r="Q125" i="5"/>
  <c r="J31" i="8" s="1"/>
  <c r="J63" s="1"/>
  <c r="AW125" i="5"/>
  <c r="AJ125"/>
  <c r="W125"/>
  <c r="J125"/>
  <c r="H20" i="9"/>
  <c r="C65"/>
  <c r="AR128" i="5"/>
  <c r="Y34" i="8" s="1"/>
  <c r="AR120" i="5"/>
  <c r="Y26" i="8" s="1"/>
  <c r="AP128" i="5"/>
  <c r="W34" i="8" s="1"/>
  <c r="AQ126" i="5"/>
  <c r="X32" i="8" s="1"/>
  <c r="AQ120" i="5"/>
  <c r="X26" i="8" s="1"/>
  <c r="AQ119" i="5"/>
  <c r="X25" i="8" s="1"/>
  <c r="AQ116" i="5"/>
  <c r="X22" i="8" s="1"/>
  <c r="AP115" i="5"/>
  <c r="W21" i="8" s="1"/>
  <c r="AN115" i="5"/>
  <c r="AJ115"/>
  <c r="G115"/>
  <c r="F21" i="8" s="1"/>
  <c r="F53" s="1"/>
  <c r="T115" i="5"/>
  <c r="M21" i="8" s="1"/>
  <c r="G130" i="5"/>
  <c r="F36" i="8" s="1"/>
  <c r="F68" s="1"/>
  <c r="Q132" i="5"/>
  <c r="J38" i="8" s="1"/>
  <c r="J70" s="1"/>
  <c r="I128" i="5"/>
  <c r="H34" i="8" s="1"/>
  <c r="H66" s="1"/>
  <c r="R98" s="1"/>
  <c r="F98" s="1"/>
  <c r="I124" i="5"/>
  <c r="H30" i="8" s="1"/>
  <c r="H62" s="1"/>
  <c r="R94" s="1"/>
  <c r="R120" i="5"/>
  <c r="K26" i="8" s="1"/>
  <c r="K58" s="1"/>
  <c r="Q119" i="5"/>
  <c r="J25" i="8" s="1"/>
  <c r="J57" s="1"/>
  <c r="I119" i="5"/>
  <c r="H25" i="8" s="1"/>
  <c r="H57" s="1"/>
  <c r="R89" s="1"/>
  <c r="I117" i="5"/>
  <c r="H23" i="8" s="1"/>
  <c r="H55" s="1"/>
  <c r="R87" s="1"/>
  <c r="H87" s="1"/>
  <c r="O87" s="1"/>
  <c r="Q115" i="5"/>
  <c r="J21" i="8" s="1"/>
  <c r="J53" s="1"/>
  <c r="M115" i="5"/>
  <c r="I115"/>
  <c r="H21" i="8" s="1"/>
  <c r="H53" s="1"/>
  <c r="R85" s="1"/>
  <c r="I113" i="5"/>
  <c r="H19" i="8" s="1"/>
  <c r="H51" s="1"/>
  <c r="R83" s="1"/>
  <c r="M111" i="5"/>
  <c r="I111"/>
  <c r="H17" i="8" s="1"/>
  <c r="H49" s="1"/>
  <c r="R81" s="1"/>
  <c r="T117" i="5"/>
  <c r="M23" i="8" s="1"/>
  <c r="T130" i="5"/>
  <c r="M36" i="8" s="1"/>
  <c r="AD133" i="5"/>
  <c r="V130"/>
  <c r="O36" i="8" s="1"/>
  <c r="AE128" i="5"/>
  <c r="R34" i="8" s="1"/>
  <c r="AC128" i="5"/>
  <c r="P34" i="8" s="1"/>
  <c r="AD126" i="5"/>
  <c r="Q32" i="8" s="1"/>
  <c r="AE124" i="5"/>
  <c r="R30" i="8" s="1"/>
  <c r="W124" i="5"/>
  <c r="AD120"/>
  <c r="Q26" i="8" s="1"/>
  <c r="AD116" i="5"/>
  <c r="Q22" i="8" s="1"/>
  <c r="AC115" i="5"/>
  <c r="P21" i="8" s="1"/>
  <c r="AA115" i="5"/>
  <c r="W115"/>
  <c r="C53" i="8"/>
  <c r="C85" s="1"/>
  <c r="C52"/>
  <c r="C84" s="1"/>
  <c r="J97"/>
  <c r="H97"/>
  <c r="O97" s="1"/>
  <c r="F97"/>
  <c r="J101"/>
  <c r="H101"/>
  <c r="O101" s="1"/>
  <c r="F101"/>
  <c r="F95"/>
  <c r="H95"/>
  <c r="O95" s="1"/>
  <c r="C79" i="9" l="1"/>
  <c r="I79" s="1"/>
  <c r="K79" s="1"/>
  <c r="H34"/>
  <c r="H91" i="8"/>
  <c r="O91" s="1"/>
  <c r="U52"/>
  <c r="N84"/>
  <c r="H81"/>
  <c r="O81" s="1"/>
  <c r="F81"/>
  <c r="F83"/>
  <c r="H83"/>
  <c r="O83" s="1"/>
  <c r="H94"/>
  <c r="O94" s="1"/>
  <c r="F94"/>
  <c r="I65" i="9"/>
  <c r="K65" s="1"/>
  <c r="H29"/>
  <c r="C74"/>
  <c r="I66"/>
  <c r="K66" s="1"/>
  <c r="BE128" i="5"/>
  <c r="AA66" i="8" s="1"/>
  <c r="BR128" i="5"/>
  <c r="AH66" i="8" s="1"/>
  <c r="F87"/>
  <c r="H98"/>
  <c r="O98" s="1"/>
  <c r="N85"/>
  <c r="U53"/>
  <c r="H85"/>
  <c r="O85" s="1"/>
  <c r="F85"/>
  <c r="F89"/>
  <c r="H89"/>
  <c r="O89" s="1"/>
  <c r="F100"/>
  <c r="H100"/>
  <c r="O100" s="1"/>
  <c r="H31" i="9"/>
  <c r="C76"/>
  <c r="I64"/>
  <c r="K64" s="1"/>
  <c r="F84" i="8"/>
  <c r="H84"/>
  <c r="O84" s="1"/>
  <c r="D127" s="1"/>
  <c r="E127" s="1"/>
  <c r="B127" s="1"/>
  <c r="E69" i="9" l="1"/>
  <c r="E73"/>
  <c r="E68"/>
  <c r="E67"/>
  <c r="E71"/>
  <c r="E70"/>
  <c r="E72"/>
  <c r="D131" i="8"/>
  <c r="D117"/>
  <c r="D126"/>
  <c r="D129"/>
  <c r="D118"/>
  <c r="D115"/>
  <c r="D122"/>
  <c r="D125"/>
  <c r="D112"/>
  <c r="D119"/>
  <c r="D116"/>
  <c r="D123"/>
  <c r="D113"/>
  <c r="D128"/>
  <c r="D114"/>
  <c r="D120"/>
  <c r="D121"/>
  <c r="D130"/>
  <c r="D124"/>
  <c r="E65" i="9"/>
  <c r="I76"/>
  <c r="K76" s="1"/>
  <c r="I74"/>
  <c r="K74" s="1"/>
  <c r="J127" i="8"/>
  <c r="E64" i="9"/>
  <c r="E66"/>
  <c r="I127" i="8"/>
  <c r="E79" i="9" l="1"/>
  <c r="E130" i="8"/>
  <c r="B130" s="1"/>
  <c r="J130"/>
  <c r="E120"/>
  <c r="J120"/>
  <c r="E128"/>
  <c r="J128"/>
  <c r="E123"/>
  <c r="J123"/>
  <c r="E119"/>
  <c r="J119"/>
  <c r="E125"/>
  <c r="J125"/>
  <c r="E115"/>
  <c r="J115"/>
  <c r="J129"/>
  <c r="E129"/>
  <c r="E117"/>
  <c r="B117" s="1"/>
  <c r="J117"/>
  <c r="E74" i="9"/>
  <c r="E76"/>
  <c r="E82"/>
  <c r="E80"/>
  <c r="E78"/>
  <c r="E124" i="8"/>
  <c r="J124"/>
  <c r="E121"/>
  <c r="J121"/>
  <c r="E114"/>
  <c r="J114"/>
  <c r="E113"/>
  <c r="J113"/>
  <c r="E116"/>
  <c r="J116"/>
  <c r="J112"/>
  <c r="E112"/>
  <c r="E122"/>
  <c r="J122"/>
  <c r="E118"/>
  <c r="J118"/>
  <c r="J126"/>
  <c r="E126"/>
  <c r="B126" s="1"/>
  <c r="J131"/>
  <c r="E131"/>
  <c r="B131" s="1"/>
  <c r="E81" i="9"/>
  <c r="E77"/>
  <c r="E75"/>
  <c r="E83"/>
  <c r="I126" i="8" l="1"/>
  <c r="I130"/>
  <c r="B118"/>
  <c r="I118"/>
  <c r="B116"/>
  <c r="I116"/>
  <c r="B114"/>
  <c r="I114"/>
  <c r="B112"/>
  <c r="I112"/>
  <c r="B129"/>
  <c r="I129"/>
  <c r="I131"/>
  <c r="I117"/>
  <c r="B122"/>
  <c r="I122"/>
  <c r="B113"/>
  <c r="I113"/>
  <c r="B121"/>
  <c r="I121"/>
  <c r="B124"/>
  <c r="I124"/>
  <c r="B115"/>
  <c r="I115"/>
  <c r="B125"/>
  <c r="I125"/>
  <c r="B119"/>
  <c r="I119"/>
  <c r="B123"/>
  <c r="I123"/>
  <c r="B128"/>
  <c r="I128"/>
  <c r="B120"/>
  <c r="I120"/>
  <c r="F34" i="9" l="1"/>
  <c r="F21"/>
  <c r="F38"/>
  <c r="F18"/>
  <c r="F36"/>
  <c r="F28"/>
  <c r="F23"/>
  <c r="F32"/>
  <c r="F27"/>
  <c r="F17"/>
  <c r="F25"/>
  <c r="F29"/>
  <c r="F20"/>
  <c r="F37"/>
  <c r="F33"/>
  <c r="F30"/>
  <c r="F19"/>
  <c r="F16"/>
  <c r="F35"/>
  <c r="F22"/>
  <c r="F31"/>
  <c r="F24"/>
  <c r="F26"/>
  <c r="M24" l="1"/>
  <c r="J24"/>
  <c r="K24" s="1"/>
  <c r="G24" s="1"/>
  <c r="W69" s="1"/>
  <c r="G69" s="1"/>
  <c r="J22"/>
  <c r="K22" s="1"/>
  <c r="G22" s="1"/>
  <c r="W67" s="1"/>
  <c r="G67" s="1"/>
  <c r="M22"/>
  <c r="M16"/>
  <c r="J16"/>
  <c r="K16" s="1"/>
  <c r="G16" s="1"/>
  <c r="W61" s="1"/>
  <c r="G61" s="1"/>
  <c r="M30"/>
  <c r="J30"/>
  <c r="K30" s="1"/>
  <c r="G30" s="1"/>
  <c r="W75" s="1"/>
  <c r="G75" s="1"/>
  <c r="M37"/>
  <c r="J37"/>
  <c r="K37" s="1"/>
  <c r="J29"/>
  <c r="K29" s="1"/>
  <c r="G29" s="1"/>
  <c r="W74" s="1"/>
  <c r="G74" s="1"/>
  <c r="M29"/>
  <c r="J17"/>
  <c r="K17" s="1"/>
  <c r="G17" s="1"/>
  <c r="W62" s="1"/>
  <c r="G62" s="1"/>
  <c r="M17"/>
  <c r="J32"/>
  <c r="K32" s="1"/>
  <c r="G32" s="1"/>
  <c r="W77" s="1"/>
  <c r="G77" s="1"/>
  <c r="M32"/>
  <c r="M28"/>
  <c r="J28"/>
  <c r="K28" s="1"/>
  <c r="G28" s="1"/>
  <c r="W73" s="1"/>
  <c r="G73" s="1"/>
  <c r="J18"/>
  <c r="K18" s="1"/>
  <c r="G18" s="1"/>
  <c r="W63" s="1"/>
  <c r="G63" s="1"/>
  <c r="M18"/>
  <c r="M21"/>
  <c r="J21"/>
  <c r="K21" s="1"/>
  <c r="J26"/>
  <c r="K26" s="1"/>
  <c r="G26" s="1"/>
  <c r="W71" s="1"/>
  <c r="G71" s="1"/>
  <c r="M26"/>
  <c r="J31"/>
  <c r="K31" s="1"/>
  <c r="G31" s="1"/>
  <c r="W76" s="1"/>
  <c r="G76" s="1"/>
  <c r="M31"/>
  <c r="J35"/>
  <c r="K35" s="1"/>
  <c r="G35" s="1"/>
  <c r="W80" s="1"/>
  <c r="G80" s="1"/>
  <c r="M35"/>
  <c r="J19"/>
  <c r="K19" s="1"/>
  <c r="G19" s="1"/>
  <c r="W64" s="1"/>
  <c r="G64" s="1"/>
  <c r="M19"/>
  <c r="M33"/>
  <c r="J33"/>
  <c r="K33" s="1"/>
  <c r="G33" s="1"/>
  <c r="W78" s="1"/>
  <c r="J20"/>
  <c r="K20" s="1"/>
  <c r="G20" s="1"/>
  <c r="W65" s="1"/>
  <c r="G65" s="1"/>
  <c r="M20"/>
  <c r="M25"/>
  <c r="J25"/>
  <c r="K25" s="1"/>
  <c r="G25" s="1"/>
  <c r="W70" s="1"/>
  <c r="G70" s="1"/>
  <c r="M27"/>
  <c r="J27"/>
  <c r="K27" s="1"/>
  <c r="G27" s="1"/>
  <c r="W72" s="1"/>
  <c r="G72" s="1"/>
  <c r="J23"/>
  <c r="K23" s="1"/>
  <c r="G23" s="1"/>
  <c r="W68" s="1"/>
  <c r="G68" s="1"/>
  <c r="M23"/>
  <c r="M36"/>
  <c r="J36"/>
  <c r="K36" s="1"/>
  <c r="G36" s="1"/>
  <c r="W81" s="1"/>
  <c r="G81" s="1"/>
  <c r="J38"/>
  <c r="K38" s="1"/>
  <c r="M38"/>
  <c r="U78"/>
  <c r="V78" s="1"/>
  <c r="G78" s="1"/>
  <c r="B110" l="1"/>
  <c r="E110" s="1"/>
  <c r="B100"/>
  <c r="B96"/>
  <c r="B108"/>
  <c r="B95"/>
  <c r="B93"/>
  <c r="B102"/>
  <c r="B98"/>
  <c r="E98" s="1"/>
  <c r="B91"/>
  <c r="B106"/>
  <c r="B92"/>
  <c r="B109"/>
  <c r="B97"/>
  <c r="B94"/>
  <c r="B107"/>
  <c r="B101"/>
  <c r="B99"/>
  <c r="B105"/>
  <c r="B103"/>
  <c r="B104"/>
  <c r="D110" l="1"/>
  <c r="E103"/>
  <c r="D103"/>
  <c r="D104"/>
  <c r="E104"/>
  <c r="D105"/>
  <c r="E105"/>
  <c r="D101"/>
  <c r="E101"/>
  <c r="E94"/>
  <c r="D121"/>
  <c r="D94"/>
  <c r="D109"/>
  <c r="E109"/>
  <c r="D106"/>
  <c r="E106"/>
  <c r="D98"/>
  <c r="E93"/>
  <c r="D120"/>
  <c r="D93"/>
  <c r="D108"/>
  <c r="E108"/>
  <c r="D100"/>
  <c r="E100"/>
  <c r="A110"/>
  <c r="H110" s="1"/>
  <c r="F110"/>
  <c r="E99"/>
  <c r="D99"/>
  <c r="D107"/>
  <c r="E107"/>
  <c r="D97"/>
  <c r="E97"/>
  <c r="D119"/>
  <c r="E92"/>
  <c r="D92"/>
  <c r="D91"/>
  <c r="E91"/>
  <c r="D118"/>
  <c r="D102"/>
  <c r="E102"/>
  <c r="D95"/>
  <c r="D122"/>
  <c r="E95"/>
  <c r="D96"/>
  <c r="E96"/>
  <c r="G110"/>
  <c r="F92" l="1"/>
  <c r="F119" s="1"/>
  <c r="E119"/>
  <c r="A92"/>
  <c r="H92" s="1"/>
  <c r="G92" s="1"/>
  <c r="A96"/>
  <c r="H96" s="1"/>
  <c r="G96" s="1"/>
  <c r="F96"/>
  <c r="A95"/>
  <c r="H95" s="1"/>
  <c r="G95" s="1"/>
  <c r="F95"/>
  <c r="F122" s="1"/>
  <c r="E122"/>
  <c r="A91"/>
  <c r="E118"/>
  <c r="F91"/>
  <c r="F118" s="1"/>
  <c r="A99"/>
  <c r="H99" s="1"/>
  <c r="F99"/>
  <c r="A98"/>
  <c r="H98" s="1"/>
  <c r="G98" s="1"/>
  <c r="F98"/>
  <c r="F106"/>
  <c r="A106"/>
  <c r="A109"/>
  <c r="H109" s="1"/>
  <c r="F109"/>
  <c r="A94"/>
  <c r="H94" s="1"/>
  <c r="G94" s="1"/>
  <c r="E121"/>
  <c r="F94"/>
  <c r="F121" s="1"/>
  <c r="F103"/>
  <c r="A103"/>
  <c r="F102"/>
  <c r="A102"/>
  <c r="H102" s="1"/>
  <c r="G102" s="1"/>
  <c r="H91"/>
  <c r="G91" s="1"/>
  <c r="A97"/>
  <c r="H97" s="1"/>
  <c r="G97" s="1"/>
  <c r="F97"/>
  <c r="F107"/>
  <c r="A107"/>
  <c r="H107" s="1"/>
  <c r="G107" s="1"/>
  <c r="G99"/>
  <c r="F100"/>
  <c r="A100"/>
  <c r="H100" s="1"/>
  <c r="G100" s="1"/>
  <c r="F108"/>
  <c r="A108"/>
  <c r="H108" s="1"/>
  <c r="G108" s="1"/>
  <c r="E120"/>
  <c r="A93"/>
  <c r="H93" s="1"/>
  <c r="G93" s="1"/>
  <c r="F93"/>
  <c r="F120" s="1"/>
  <c r="H106"/>
  <c r="G106" s="1"/>
  <c r="G109"/>
  <c r="A101"/>
  <c r="H101" s="1"/>
  <c r="G101" s="1"/>
  <c r="F101"/>
  <c r="F105"/>
  <c r="A105"/>
  <c r="H105" s="1"/>
  <c r="G105" s="1"/>
  <c r="A104"/>
  <c r="H104" s="1"/>
  <c r="G104" s="1"/>
  <c r="F104"/>
  <c r="H103"/>
  <c r="G103" s="1"/>
</calcChain>
</file>

<file path=xl/comments1.xml><?xml version="1.0" encoding="utf-8"?>
<comments xmlns="http://schemas.openxmlformats.org/spreadsheetml/2006/main">
  <authors>
    <author>Krug</author>
  </authors>
  <commentList>
    <comment ref="J23" authorId="0">
      <text>
        <r>
          <rPr>
            <b/>
            <sz val="8"/>
            <color indexed="81"/>
            <rFont val="Tahoma"/>
            <family val="2"/>
          </rPr>
          <t>Krug:</t>
        </r>
        <r>
          <rPr>
            <sz val="8"/>
            <color indexed="81"/>
            <rFont val="Tahoma"/>
            <family val="2"/>
          </rPr>
          <t xml:space="preserve">
Let op, meestal is de grote vis gevoeliger voor schade dan kleine vis. De hier weergegeven waarde geeft een vertekend beeld.</t>
        </r>
      </text>
    </comment>
  </commentList>
</comments>
</file>

<file path=xl/comments2.xml><?xml version="1.0" encoding="utf-8"?>
<comments xmlns="http://schemas.openxmlformats.org/spreadsheetml/2006/main">
  <authors>
    <author>Krug</author>
    <author>Vis</author>
    <author>Tim Puts</author>
  </authors>
  <commentList>
    <comment ref="J5" authorId="0">
      <text>
        <r>
          <rPr>
            <b/>
            <sz val="8"/>
            <color indexed="81"/>
            <rFont val="Tahoma"/>
            <family val="2"/>
          </rPr>
          <t>Krug:</t>
        </r>
        <r>
          <rPr>
            <sz val="8"/>
            <color indexed="81"/>
            <rFont val="Tahoma"/>
            <family val="2"/>
          </rPr>
          <t xml:space="preserve">
0% schade, maar n&lt;10</t>
        </r>
      </text>
    </comment>
    <comment ref="K5" authorId="0">
      <text>
        <r>
          <rPr>
            <b/>
            <sz val="8"/>
            <color indexed="81"/>
            <rFont val="Tahoma"/>
            <family val="2"/>
          </rPr>
          <t>Krug:</t>
        </r>
        <r>
          <rPr>
            <sz val="8"/>
            <color indexed="81"/>
            <rFont val="Tahoma"/>
            <family val="2"/>
          </rPr>
          <t xml:space="preserve">
0% schade, maar n&lt;10</t>
        </r>
      </text>
    </comment>
    <comment ref="L5" authorId="0">
      <text>
        <r>
          <rPr>
            <b/>
            <sz val="8"/>
            <color indexed="81"/>
            <rFont val="Tahoma"/>
            <family val="2"/>
          </rPr>
          <t>Krug:</t>
        </r>
        <r>
          <rPr>
            <sz val="8"/>
            <color indexed="81"/>
            <rFont val="Tahoma"/>
            <family val="2"/>
          </rPr>
          <t xml:space="preserve">
0% schade, maar n&lt;10</t>
        </r>
      </text>
    </comment>
    <comment ref="H14" authorId="0">
      <text>
        <r>
          <rPr>
            <b/>
            <sz val="8"/>
            <color indexed="81"/>
            <rFont val="Tahoma"/>
            <family val="2"/>
          </rPr>
          <t>Krug:</t>
        </r>
        <r>
          <rPr>
            <sz val="8"/>
            <color indexed="81"/>
            <rFont val="Tahoma"/>
            <family val="2"/>
          </rPr>
          <t xml:space="preserve">
opgegeven waarde &lt;2</t>
        </r>
      </text>
    </comment>
    <comment ref="I14" authorId="0">
      <text>
        <r>
          <rPr>
            <b/>
            <sz val="8"/>
            <color indexed="81"/>
            <rFont val="Tahoma"/>
            <family val="2"/>
          </rPr>
          <t>Krug:</t>
        </r>
        <r>
          <rPr>
            <sz val="8"/>
            <color indexed="81"/>
            <rFont val="Tahoma"/>
            <family val="2"/>
          </rPr>
          <t xml:space="preserve">
opgegeven waarde &lt;2</t>
        </r>
      </text>
    </comment>
    <comment ref="H15" authorId="0">
      <text>
        <r>
          <rPr>
            <b/>
            <sz val="8"/>
            <color indexed="81"/>
            <rFont val="Tahoma"/>
            <family val="2"/>
          </rPr>
          <t>Krug:</t>
        </r>
        <r>
          <rPr>
            <sz val="8"/>
            <color indexed="81"/>
            <rFont val="Tahoma"/>
            <family val="2"/>
          </rPr>
          <t xml:space="preserve">
opgegeven waarde &lt;4</t>
        </r>
      </text>
    </comment>
    <comment ref="I15" authorId="0">
      <text>
        <r>
          <rPr>
            <b/>
            <sz val="8"/>
            <color indexed="81"/>
            <rFont val="Tahoma"/>
            <family val="2"/>
          </rPr>
          <t>Krug:</t>
        </r>
        <r>
          <rPr>
            <sz val="8"/>
            <color indexed="81"/>
            <rFont val="Tahoma"/>
            <family val="2"/>
          </rPr>
          <t xml:space="preserve">
opgegeven waarde &lt;4</t>
        </r>
      </text>
    </comment>
    <comment ref="N28" authorId="0">
      <text>
        <r>
          <rPr>
            <b/>
            <sz val="8"/>
            <color indexed="81"/>
            <rFont val="Tahoma"/>
            <family val="2"/>
          </rPr>
          <t>Krug:</t>
        </r>
        <r>
          <rPr>
            <sz val="8"/>
            <color indexed="81"/>
            <rFont val="Tahoma"/>
            <family val="2"/>
          </rPr>
          <t xml:space="preserve">
38% schade, maar n&lt;10</t>
        </r>
      </text>
    </comment>
    <comment ref="Q28" authorId="0">
      <text>
        <r>
          <rPr>
            <b/>
            <sz val="8"/>
            <color indexed="81"/>
            <rFont val="Tahoma"/>
            <family val="2"/>
          </rPr>
          <t>Krug:</t>
        </r>
        <r>
          <rPr>
            <sz val="8"/>
            <color indexed="81"/>
            <rFont val="Tahoma"/>
            <family val="2"/>
          </rPr>
          <t xml:space="preserve">
38% schade, maar n&lt;10</t>
        </r>
      </text>
    </comment>
    <comment ref="K37" authorId="0">
      <text>
        <r>
          <rPr>
            <b/>
            <sz val="8"/>
            <color indexed="81"/>
            <rFont val="Tahoma"/>
            <family val="2"/>
          </rPr>
          <t>Krug:</t>
        </r>
        <r>
          <rPr>
            <sz val="8"/>
            <color indexed="81"/>
            <rFont val="Tahoma"/>
            <family val="2"/>
          </rPr>
          <t xml:space="preserve">
25% schade, maar n&lt;10</t>
        </r>
      </text>
    </comment>
    <comment ref="K39" authorId="0">
      <text>
        <r>
          <rPr>
            <b/>
            <sz val="8"/>
            <color indexed="81"/>
            <rFont val="Tahoma"/>
            <family val="2"/>
          </rPr>
          <t>Krug:</t>
        </r>
        <r>
          <rPr>
            <sz val="8"/>
            <color indexed="81"/>
            <rFont val="Tahoma"/>
            <family val="2"/>
          </rPr>
          <t xml:space="preserve">
schade 33%, maar n&lt;10</t>
        </r>
      </text>
    </comment>
    <comment ref="K40" authorId="0">
      <text>
        <r>
          <rPr>
            <b/>
            <sz val="8"/>
            <color indexed="81"/>
            <rFont val="Tahoma"/>
            <family val="2"/>
          </rPr>
          <t>Krug:</t>
        </r>
        <r>
          <rPr>
            <sz val="8"/>
            <color indexed="81"/>
            <rFont val="Tahoma"/>
            <family val="2"/>
          </rPr>
          <t xml:space="preserve">
schade 22%, maar n&lt;10</t>
        </r>
      </text>
    </comment>
    <comment ref="N46" authorId="0">
      <text>
        <r>
          <rPr>
            <b/>
            <sz val="8"/>
            <color indexed="81"/>
            <rFont val="Tahoma"/>
            <family val="2"/>
          </rPr>
          <t>Krug:</t>
        </r>
        <r>
          <rPr>
            <sz val="8"/>
            <color indexed="81"/>
            <rFont val="Tahoma"/>
            <family val="2"/>
          </rPr>
          <t xml:space="preserve">
schade 38%, maar n&lt;10</t>
        </r>
      </text>
    </comment>
    <comment ref="G49" authorId="0">
      <text>
        <r>
          <rPr>
            <b/>
            <sz val="8"/>
            <color indexed="81"/>
            <rFont val="Tahoma"/>
            <family val="2"/>
          </rPr>
          <t>Krug:</t>
        </r>
        <r>
          <rPr>
            <sz val="8"/>
            <color indexed="81"/>
            <rFont val="Tahoma"/>
            <family val="2"/>
          </rPr>
          <t xml:space="preserve">
schade 33%, maar n&lt;10</t>
        </r>
      </text>
    </comment>
    <comment ref="D51" authorId="1">
      <text>
        <r>
          <rPr>
            <b/>
            <sz val="8"/>
            <color indexed="81"/>
            <rFont val="Tahoma"/>
            <family val="2"/>
          </rPr>
          <t>Vis:</t>
        </r>
        <r>
          <rPr>
            <sz val="8"/>
            <color indexed="81"/>
            <rFont val="Tahoma"/>
            <family val="2"/>
          </rPr>
          <t xml:space="preserve">
klopt dit?</t>
        </r>
      </text>
    </comment>
    <comment ref="H56" authorId="0">
      <text>
        <r>
          <rPr>
            <b/>
            <sz val="8"/>
            <color indexed="81"/>
            <rFont val="Tahoma"/>
            <family val="2"/>
          </rPr>
          <t>Krug:</t>
        </r>
        <r>
          <rPr>
            <sz val="8"/>
            <color indexed="81"/>
            <rFont val="Tahoma"/>
            <family val="2"/>
          </rPr>
          <t xml:space="preserve">
opgegeven waarde 4-7</t>
        </r>
      </text>
    </comment>
    <comment ref="I56" authorId="0">
      <text>
        <r>
          <rPr>
            <b/>
            <sz val="8"/>
            <color indexed="81"/>
            <rFont val="Tahoma"/>
            <family val="2"/>
          </rPr>
          <t>Krug:</t>
        </r>
        <r>
          <rPr>
            <sz val="8"/>
            <color indexed="81"/>
            <rFont val="Tahoma"/>
            <family val="2"/>
          </rPr>
          <t xml:space="preserve">
opgegeven waarde 4-7</t>
        </r>
      </text>
    </comment>
    <comment ref="H58" authorId="0">
      <text>
        <r>
          <rPr>
            <b/>
            <sz val="8"/>
            <color indexed="81"/>
            <rFont val="Tahoma"/>
            <family val="2"/>
          </rPr>
          <t>Krug:</t>
        </r>
        <r>
          <rPr>
            <sz val="8"/>
            <color indexed="81"/>
            <rFont val="Tahoma"/>
            <family val="2"/>
          </rPr>
          <t xml:space="preserve">
opgegeven waarde &lt;6</t>
        </r>
      </text>
    </comment>
    <comment ref="I58" authorId="0">
      <text>
        <r>
          <rPr>
            <b/>
            <sz val="8"/>
            <color indexed="81"/>
            <rFont val="Tahoma"/>
            <family val="2"/>
          </rPr>
          <t>Krug:</t>
        </r>
        <r>
          <rPr>
            <sz val="8"/>
            <color indexed="81"/>
            <rFont val="Tahoma"/>
            <family val="2"/>
          </rPr>
          <t xml:space="preserve">
opgegeven waarde &lt;6</t>
        </r>
      </text>
    </comment>
    <comment ref="H59" authorId="0">
      <text>
        <r>
          <rPr>
            <b/>
            <sz val="8"/>
            <color indexed="81"/>
            <rFont val="Tahoma"/>
            <family val="2"/>
          </rPr>
          <t>Krug:</t>
        </r>
        <r>
          <rPr>
            <sz val="8"/>
            <color indexed="81"/>
            <rFont val="Tahoma"/>
            <family val="2"/>
          </rPr>
          <t xml:space="preserve">
opgegeven waarde &lt;6</t>
        </r>
      </text>
    </comment>
    <comment ref="K63" authorId="0">
      <text>
        <r>
          <rPr>
            <b/>
            <sz val="8"/>
            <color indexed="81"/>
            <rFont val="Tahoma"/>
            <family val="2"/>
          </rPr>
          <t>Krug:</t>
        </r>
        <r>
          <rPr>
            <sz val="8"/>
            <color indexed="81"/>
            <rFont val="Tahoma"/>
            <family val="2"/>
          </rPr>
          <t xml:space="preserve">
schade 14%, maar n&lt;10</t>
        </r>
      </text>
    </comment>
    <comment ref="N63" authorId="0">
      <text>
        <r>
          <rPr>
            <b/>
            <sz val="8"/>
            <color indexed="81"/>
            <rFont val="Tahoma"/>
            <family val="2"/>
          </rPr>
          <t>Krug:</t>
        </r>
        <r>
          <rPr>
            <sz val="8"/>
            <color indexed="81"/>
            <rFont val="Tahoma"/>
            <family val="2"/>
          </rPr>
          <t xml:space="preserve">
schade 73%, maar n&lt;10</t>
        </r>
      </text>
    </comment>
    <comment ref="N64" authorId="0">
      <text>
        <r>
          <rPr>
            <b/>
            <sz val="8"/>
            <color indexed="81"/>
            <rFont val="Tahoma"/>
            <family val="2"/>
          </rPr>
          <t>Krug:</t>
        </r>
        <r>
          <rPr>
            <sz val="8"/>
            <color indexed="81"/>
            <rFont val="Tahoma"/>
            <family val="2"/>
          </rPr>
          <t xml:space="preserve">
schade 13%, maar n&lt;10</t>
        </r>
      </text>
    </comment>
    <comment ref="G65" authorId="0">
      <text>
        <r>
          <rPr>
            <b/>
            <sz val="8"/>
            <color indexed="81"/>
            <rFont val="Tahoma"/>
            <family val="2"/>
          </rPr>
          <t>Krug:</t>
        </r>
        <r>
          <rPr>
            <sz val="8"/>
            <color indexed="81"/>
            <rFont val="Tahoma"/>
            <family val="2"/>
          </rPr>
          <t xml:space="preserve">
schade 100%, maar n&lt;10</t>
        </r>
      </text>
    </comment>
    <comment ref="J65" authorId="0">
      <text>
        <r>
          <rPr>
            <b/>
            <sz val="8"/>
            <color indexed="81"/>
            <rFont val="Tahoma"/>
            <family val="2"/>
          </rPr>
          <t>Krug:</t>
        </r>
        <r>
          <rPr>
            <sz val="8"/>
            <color indexed="81"/>
            <rFont val="Tahoma"/>
            <family val="2"/>
          </rPr>
          <t xml:space="preserve">
schade 100%, maar n&lt;10</t>
        </r>
      </text>
    </comment>
    <comment ref="K65" authorId="0">
      <text>
        <r>
          <rPr>
            <b/>
            <sz val="8"/>
            <color indexed="81"/>
            <rFont val="Tahoma"/>
            <family val="2"/>
          </rPr>
          <t>Krug:</t>
        </r>
        <r>
          <rPr>
            <sz val="8"/>
            <color indexed="81"/>
            <rFont val="Tahoma"/>
            <family val="2"/>
          </rPr>
          <t xml:space="preserve">
schade 100%, maar n&lt;10</t>
        </r>
      </text>
    </comment>
    <comment ref="L65" authorId="0">
      <text>
        <r>
          <rPr>
            <b/>
            <sz val="8"/>
            <color indexed="81"/>
            <rFont val="Tahoma"/>
            <family val="2"/>
          </rPr>
          <t>Krug:</t>
        </r>
        <r>
          <rPr>
            <sz val="8"/>
            <color indexed="81"/>
            <rFont val="Tahoma"/>
            <family val="2"/>
          </rPr>
          <t xml:space="preserve">
schade 100%, maar n&lt;10</t>
        </r>
      </text>
    </comment>
    <comment ref="N66" authorId="0">
      <text>
        <r>
          <rPr>
            <b/>
            <sz val="8"/>
            <color indexed="81"/>
            <rFont val="Tahoma"/>
            <family val="2"/>
          </rPr>
          <t>Krug:</t>
        </r>
        <r>
          <rPr>
            <sz val="8"/>
            <color indexed="81"/>
            <rFont val="Tahoma"/>
            <family val="2"/>
          </rPr>
          <t xml:space="preserve">
schade 80%, maar n&lt;10</t>
        </r>
      </text>
    </comment>
    <comment ref="K69" authorId="0">
      <text>
        <r>
          <rPr>
            <b/>
            <sz val="8"/>
            <color indexed="81"/>
            <rFont val="Tahoma"/>
            <family val="2"/>
          </rPr>
          <t>Krug:</t>
        </r>
        <r>
          <rPr>
            <sz val="8"/>
            <color indexed="81"/>
            <rFont val="Tahoma"/>
            <family val="2"/>
          </rPr>
          <t xml:space="preserve">
schade 0%, maar n&lt;10</t>
        </r>
      </text>
    </comment>
    <comment ref="L69" authorId="0">
      <text>
        <r>
          <rPr>
            <b/>
            <sz val="8"/>
            <color indexed="81"/>
            <rFont val="Tahoma"/>
            <family val="2"/>
          </rPr>
          <t>Krug:</t>
        </r>
        <r>
          <rPr>
            <sz val="8"/>
            <color indexed="81"/>
            <rFont val="Tahoma"/>
            <family val="2"/>
          </rPr>
          <t xml:space="preserve">
schade 0%, maar n&lt;10</t>
        </r>
      </text>
    </comment>
    <comment ref="M69" authorId="0">
      <text>
        <r>
          <rPr>
            <b/>
            <sz val="8"/>
            <color indexed="81"/>
            <rFont val="Tahoma"/>
            <family val="2"/>
          </rPr>
          <t>Krug:</t>
        </r>
        <r>
          <rPr>
            <sz val="8"/>
            <color indexed="81"/>
            <rFont val="Tahoma"/>
            <family val="2"/>
          </rPr>
          <t xml:space="preserve">
schade 0%, maar n&lt;10</t>
        </r>
      </text>
    </comment>
    <comment ref="N72" authorId="0">
      <text>
        <r>
          <rPr>
            <b/>
            <sz val="8"/>
            <color indexed="81"/>
            <rFont val="Tahoma"/>
            <family val="2"/>
          </rPr>
          <t>Krug:</t>
        </r>
        <r>
          <rPr>
            <sz val="8"/>
            <color indexed="81"/>
            <rFont val="Tahoma"/>
            <family val="2"/>
          </rPr>
          <t xml:space="preserve">
schade 67%, maar n&lt;10</t>
        </r>
      </text>
    </comment>
    <comment ref="N73" authorId="0">
      <text>
        <r>
          <rPr>
            <b/>
            <sz val="8"/>
            <color indexed="81"/>
            <rFont val="Tahoma"/>
            <family val="2"/>
          </rPr>
          <t>Krug:</t>
        </r>
        <r>
          <rPr>
            <sz val="8"/>
            <color indexed="81"/>
            <rFont val="Tahoma"/>
            <family val="2"/>
          </rPr>
          <t xml:space="preserve">
schade 25%, maar n&lt;10</t>
        </r>
      </text>
    </comment>
    <comment ref="J80" authorId="0">
      <text>
        <r>
          <rPr>
            <b/>
            <sz val="8"/>
            <color indexed="81"/>
            <rFont val="Tahoma"/>
            <family val="2"/>
          </rPr>
          <t>Krug:</t>
        </r>
        <r>
          <rPr>
            <sz val="8"/>
            <color indexed="81"/>
            <rFont val="Tahoma"/>
            <family val="2"/>
          </rPr>
          <t xml:space="preserve">
schade was 50%, maar n&lt;10</t>
        </r>
      </text>
    </comment>
    <comment ref="K80" authorId="0">
      <text>
        <r>
          <rPr>
            <b/>
            <sz val="8"/>
            <color indexed="81"/>
            <rFont val="Tahoma"/>
            <family val="2"/>
          </rPr>
          <t>Krug:</t>
        </r>
        <r>
          <rPr>
            <sz val="8"/>
            <color indexed="81"/>
            <rFont val="Tahoma"/>
            <family val="2"/>
          </rPr>
          <t xml:space="preserve">
schade was 50%, maar n&lt;10</t>
        </r>
      </text>
    </comment>
    <comment ref="L80" authorId="0">
      <text>
        <r>
          <rPr>
            <b/>
            <sz val="8"/>
            <color indexed="81"/>
            <rFont val="Tahoma"/>
            <family val="2"/>
          </rPr>
          <t>Krug:</t>
        </r>
        <r>
          <rPr>
            <sz val="8"/>
            <color indexed="81"/>
            <rFont val="Tahoma"/>
            <family val="2"/>
          </rPr>
          <t xml:space="preserve">
schade 50%, maar n=12</t>
        </r>
      </text>
    </comment>
    <comment ref="N80" authorId="0">
      <text>
        <r>
          <rPr>
            <b/>
            <sz val="8"/>
            <color indexed="81"/>
            <rFont val="Tahoma"/>
            <family val="2"/>
          </rPr>
          <t>Krug:</t>
        </r>
        <r>
          <rPr>
            <sz val="8"/>
            <color indexed="81"/>
            <rFont val="Tahoma"/>
            <family val="2"/>
          </rPr>
          <t xml:space="preserve">
schade was 100%, maar n&lt;10</t>
        </r>
      </text>
    </comment>
    <comment ref="J81" authorId="0">
      <text>
        <r>
          <rPr>
            <b/>
            <sz val="8"/>
            <color indexed="81"/>
            <rFont val="Tahoma"/>
            <family val="2"/>
          </rPr>
          <t>Krug:</t>
        </r>
        <r>
          <rPr>
            <sz val="8"/>
            <color indexed="81"/>
            <rFont val="Tahoma"/>
            <family val="2"/>
          </rPr>
          <t xml:space="preserve">
schade 0%, maar n&lt;10</t>
        </r>
      </text>
    </comment>
    <comment ref="K81" authorId="0">
      <text>
        <r>
          <rPr>
            <b/>
            <sz val="8"/>
            <color indexed="81"/>
            <rFont val="Tahoma"/>
            <family val="2"/>
          </rPr>
          <t>Krug:</t>
        </r>
        <r>
          <rPr>
            <sz val="8"/>
            <color indexed="81"/>
            <rFont val="Tahoma"/>
            <family val="2"/>
          </rPr>
          <t xml:space="preserve">
schade 0%, maar n&lt;10</t>
        </r>
      </text>
    </comment>
    <comment ref="L81" authorId="0">
      <text>
        <r>
          <rPr>
            <b/>
            <sz val="8"/>
            <color indexed="81"/>
            <rFont val="Tahoma"/>
            <family val="2"/>
          </rPr>
          <t>Krug:</t>
        </r>
        <r>
          <rPr>
            <sz val="8"/>
            <color indexed="81"/>
            <rFont val="Tahoma"/>
            <family val="2"/>
          </rPr>
          <t xml:space="preserve">
schade 0%, maar n&lt;10</t>
        </r>
      </text>
    </comment>
    <comment ref="N81" authorId="0">
      <text>
        <r>
          <rPr>
            <b/>
            <sz val="8"/>
            <color indexed="81"/>
            <rFont val="Tahoma"/>
            <family val="2"/>
          </rPr>
          <t>Krug:</t>
        </r>
        <r>
          <rPr>
            <sz val="8"/>
            <color indexed="81"/>
            <rFont val="Tahoma"/>
            <family val="2"/>
          </rPr>
          <t xml:space="preserve">
schade 0%, maar n&lt;10</t>
        </r>
      </text>
    </comment>
    <comment ref="G95" authorId="2">
      <text>
        <r>
          <rPr>
            <b/>
            <sz val="9"/>
            <color indexed="81"/>
            <rFont val="Tahoma"/>
            <family val="2"/>
          </rPr>
          <t>Tim Puts:</t>
        </r>
        <r>
          <rPr>
            <sz val="9"/>
            <color indexed="81"/>
            <rFont val="Tahoma"/>
            <family val="2"/>
          </rPr>
          <t xml:space="preserve">
schade was 33%, maar slecht 3 alen gepaseerd
</t>
        </r>
      </text>
    </comment>
    <comment ref="G98" authorId="2">
      <text>
        <r>
          <rPr>
            <b/>
            <sz val="9"/>
            <color indexed="81"/>
            <rFont val="Tahoma"/>
            <family val="2"/>
          </rPr>
          <t>Tim Puts:</t>
        </r>
        <r>
          <rPr>
            <sz val="9"/>
            <color indexed="81"/>
            <rFont val="Tahoma"/>
            <family val="2"/>
          </rPr>
          <t xml:space="preserve">
schade was 100%, maar slechts 4 alen gepaseerd
</t>
        </r>
      </text>
    </comment>
    <comment ref="G103" authorId="2">
      <text>
        <r>
          <rPr>
            <b/>
            <sz val="9"/>
            <color indexed="81"/>
            <rFont val="Tahoma"/>
            <family val="2"/>
          </rPr>
          <t>Tim Puts:</t>
        </r>
        <r>
          <rPr>
            <sz val="9"/>
            <color indexed="81"/>
            <rFont val="Tahoma"/>
            <family val="2"/>
          </rPr>
          <t xml:space="preserve">
0% schade, maar slechts 7 alen gepaseerd
</t>
        </r>
      </text>
    </comment>
    <comment ref="G105" authorId="2">
      <text>
        <r>
          <rPr>
            <b/>
            <sz val="9"/>
            <color indexed="81"/>
            <rFont val="Tahoma"/>
            <family val="2"/>
          </rPr>
          <t>Tim Puts:</t>
        </r>
        <r>
          <rPr>
            <sz val="9"/>
            <color indexed="81"/>
            <rFont val="Tahoma"/>
            <family val="2"/>
          </rPr>
          <t xml:space="preserve">
20% schade, maar slechts 5 alen gepasseerd
</t>
        </r>
      </text>
    </comment>
    <comment ref="G106" authorId="2">
      <text>
        <r>
          <rPr>
            <b/>
            <sz val="9"/>
            <color indexed="81"/>
            <rFont val="Tahoma"/>
            <family val="2"/>
          </rPr>
          <t>Tim Puts:</t>
        </r>
        <r>
          <rPr>
            <sz val="9"/>
            <color indexed="81"/>
            <rFont val="Tahoma"/>
            <family val="2"/>
          </rPr>
          <t xml:space="preserve">
40% schade, maar slechts 5 alen gepasseerd</t>
        </r>
      </text>
    </comment>
    <comment ref="AL106" authorId="2">
      <text>
        <r>
          <rPr>
            <b/>
            <sz val="9"/>
            <color indexed="81"/>
            <rFont val="Tahoma"/>
            <family val="2"/>
          </rPr>
          <t>Tim Puts:</t>
        </r>
        <r>
          <rPr>
            <sz val="9"/>
            <color indexed="81"/>
            <rFont val="Tahoma"/>
            <family val="2"/>
          </rPr>
          <t xml:space="preserve">
afgelezen uit grafiek dus schatting</t>
        </r>
      </text>
    </comment>
  </commentList>
</comments>
</file>

<file path=xl/sharedStrings.xml><?xml version="1.0" encoding="utf-8"?>
<sst xmlns="http://schemas.openxmlformats.org/spreadsheetml/2006/main" count="886" uniqueCount="414">
  <si>
    <t>Aanwezige doelgroep</t>
  </si>
  <si>
    <t>Ranking op overlevingspercentage van doelgroep</t>
  </si>
  <si>
    <t>Bovenaan het tabblad Vis is een menu opgenomen waarin een keuze uit verschillende visdoelgroepen kan worden gemaakt. Door middel van deze keuze wordt bepaald welke onderzoeksresultaten worden gebruikt voor de rangschikking van beschikbare opvoerwerken.</t>
  </si>
  <si>
    <t>In stap 3 wordt een rankschikking van de beschikbare opvoerwerken gemaakt op basis van de deelscore Vis.</t>
  </si>
  <si>
    <t>Op het tabblad Eindbeoordeling worden de bevindingen van de tabbladen Techniek en Vis samengevoegd tot een advies over de best passende opvoerwerken.</t>
  </si>
  <si>
    <t>In stap 2 kan de geschiktheid van hoofdtypen en specifieke opvoerwerken worden weergegeven door middel van 'JA/NEE' keuzes. Hierbij kunnen zaken als technische inpasbaarheid, toepassingsbereik (capaciteit) of persoonlijke voorkeuren worden meegenomen.</t>
  </si>
  <si>
    <t>In stap 3 worden de opvoerwerken, die als wenselijk zijn beoordeeld, gerangschikt op basis van de totaalscore. Ter informatie is weergegeven of de totaalscore sterker beïnvloedt is door de deelscore Techniek of de deelscore Vis. Hoofdtypen en specifieke opvoerwerken waarvoor in stap 2 'NEE' is ingevuld, zijn niet opgenomen in stap 3.</t>
  </si>
  <si>
    <t>-   fase 1: opzet van een plan van aanpak;</t>
  </si>
  <si>
    <t>-   fase 2: bureaustudie van de visvriendelijkheid van opvoerwerktuigen;</t>
  </si>
  <si>
    <t>Bovenaan het tabblad Eindbeoordeling is een menu opgenomen waarin kan worden aangegeven in hoeverre een visvriendelijke oplossing wenselijk is. Is een visvriendelijke oplossing niet noodzakelijk, wenselijk of noodzakelijk? De keuze die in het menu wordt gemaakt is bepalend voor het gewicht dat wordt toegekend aan de deelscore van tabblad Vis. Afhankelijk van de keuze weegt de deelscore Vis even zwaar, dubbel zo zwaar of drie keer zo zwaar als de deelscore Techniek. Op basis van de deelscore en de toegekende gewichten wordt een totaal score bepaald.</t>
  </si>
  <si>
    <t>In stap 4 zijn de 5 opvoerwerken met de hoogste totaalscore weergegeven. Bij de keuze voor een type opvoerwerk spelen de criteria rendement, beheer- en onderhoudsgevoeligheid en kosten een grote rol. Omdat deze criteria sterk situatieafhankelijk zijn, zijn deze niet in dit afwegingskader te vatten. Het is daarom niet mogelijk een compleet advies te geven. De 5 weergegeven opvoerwerken zijn de opvoerwerken die op basis van de criteria het meest geschikt geacht worden. Het advies is om voor deze opvoerwerken specifieke informatie op te vragen bij leveranciers en de definitieve keuze van het opvoerwerk hierop te baseren.</t>
  </si>
  <si>
    <t>-</t>
  </si>
  <si>
    <t>--</t>
  </si>
  <si>
    <t>0 - &gt;1.000 m3/min</t>
  </si>
  <si>
    <t>&lt;5 m3/min</t>
  </si>
  <si>
    <t>0 - 1.000 m3/min</t>
  </si>
  <si>
    <t>overlevingspercentages voor doelgroep</t>
  </si>
  <si>
    <t>Deelscore techniek</t>
  </si>
  <si>
    <t>Deelscore vis</t>
  </si>
  <si>
    <t>axiaal</t>
  </si>
  <si>
    <t>vijzel</t>
  </si>
  <si>
    <t>&lt;1</t>
  </si>
  <si>
    <t>&gt;1-2</t>
  </si>
  <si>
    <t>&gt;2-4</t>
  </si>
  <si>
    <t>nieuwbouw</t>
  </si>
  <si>
    <t>vervanging</t>
  </si>
  <si>
    <t>renovatie</t>
  </si>
  <si>
    <t>beheer en onderhoud</t>
  </si>
  <si>
    <t>investeringskosten</t>
  </si>
  <si>
    <t>exploitatiekosten</t>
  </si>
  <si>
    <t>rendement</t>
  </si>
  <si>
    <t>Capaciteit (Q)</t>
  </si>
  <si>
    <t>radiaal</t>
  </si>
  <si>
    <t>half-axiaal</t>
  </si>
  <si>
    <t>&lt;5</t>
  </si>
  <si>
    <t>&gt;5-25</t>
  </si>
  <si>
    <t>&gt;25-75</t>
  </si>
  <si>
    <t>&gt;75-200</t>
  </si>
  <si>
    <t>&gt;200</t>
  </si>
  <si>
    <t>&gt;4-6</t>
  </si>
  <si>
    <t>ranking</t>
  </si>
  <si>
    <t>score</t>
  </si>
  <si>
    <t>Axiaal</t>
  </si>
  <si>
    <t>Radiaal</t>
  </si>
  <si>
    <t>Vijzel</t>
  </si>
  <si>
    <t>Buisvijzel FFI</t>
  </si>
  <si>
    <t>half-axiaal pomp</t>
  </si>
  <si>
    <t>Amarex KRT</t>
  </si>
  <si>
    <t>axiaalpomp</t>
  </si>
  <si>
    <t>BVOP</t>
  </si>
  <si>
    <t>BEVERON</t>
  </si>
  <si>
    <t>Technisch</t>
  </si>
  <si>
    <t>Kenmerken</t>
  </si>
  <si>
    <t>Visoverleefbaarheid (schadepercentages)</t>
  </si>
  <si>
    <t>Passeerbaarheid</t>
  </si>
  <si>
    <t>Pomptype</t>
  </si>
  <si>
    <t>Opvoerhoogte (m)</t>
  </si>
  <si>
    <t>Toeren</t>
  </si>
  <si>
    <t xml:space="preserve">  
Aal</t>
  </si>
  <si>
    <t xml:space="preserve">
 overige vissoorten </t>
  </si>
  <si>
    <t>totaal</t>
  </si>
  <si>
    <t xml:space="preserve">
baarsachtigen &gt; 15cm</t>
  </si>
  <si>
    <t xml:space="preserve">
baarsachtigen &lt; 15cm</t>
  </si>
  <si>
    <t xml:space="preserve">
baarsachtigen totaal</t>
  </si>
  <si>
    <t xml:space="preserve"> 
karperachtigen &gt; 15cm</t>
  </si>
  <si>
    <t xml:space="preserve">
karperachtigen &lt; 15cm</t>
  </si>
  <si>
    <t xml:space="preserve">
karperachtigen totaal</t>
  </si>
  <si>
    <t>Turbulentie</t>
  </si>
  <si>
    <t>Versnelling</t>
  </si>
  <si>
    <t>Naam gemaal</t>
  </si>
  <si>
    <t>Onderzoek</t>
  </si>
  <si>
    <t>FFI  (gedwongen blootstelling)</t>
  </si>
  <si>
    <t>F.T. Vriese (VisAdvies), 2009. Onderzoek naar de visveilige axiaalpomp en buisvijzel. VisAdvies BV, Nieuwegein. Projectnummer VA2009_19, 24 pag.</t>
  </si>
  <si>
    <t>Zwanburgerpolder</t>
  </si>
  <si>
    <t>Vriese F.T., J. Hop, H. Vis &amp; I.L.Y. Spierts, 2010. Bijlagenrapport 3 Vijzels; faunapomp. VisAdvies BV, Nieuwegein. Projectnummer VA2009_33, 60 pag.</t>
  </si>
  <si>
    <t>√√√√√</t>
  </si>
  <si>
    <t>√√√</t>
  </si>
  <si>
    <t>√√√√</t>
  </si>
  <si>
    <t>Sudhoeke</t>
  </si>
  <si>
    <t>Sint-Karelsmolen</t>
  </si>
  <si>
    <t>Germonpré, E., B. Denayer, C. Belpaire, F. Ollivier, 1994. Inventarisatie van pompgemalen in het Vlaamse gewest en preliminair onderzoek naar de schade van diverse pomptypes op vissen na gedwongen blootstelling. Onderzoek door AMINAL en de Katholieke Univ</t>
  </si>
  <si>
    <t>De Seine, Vlaanderen</t>
  </si>
  <si>
    <t>Denayer B. &amp; C. Belpaire, 1992. Onderzoek naar de effecten van een vijzelgemaal op vispopulaties. Instituut voor Bosbouw en Wildbeheer van het Ministerie van de Vlaamse Gemeenschap.</t>
  </si>
  <si>
    <t>Ennemaborgh</t>
  </si>
  <si>
    <t>n.v.t.</t>
  </si>
  <si>
    <t>√</t>
  </si>
  <si>
    <t>Vleuterweide</t>
  </si>
  <si>
    <t>Snelrewaard</t>
  </si>
  <si>
    <t>Ing. M.C. de Lange &amp; J.C.A. Merkx, 2005. Experimentele inventarisatie van visschade bij gemalen. VisAdvies BV, Utrecht. VA2005_01 13 pag.</t>
  </si>
  <si>
    <t>0,3-1,5</t>
  </si>
  <si>
    <t>De Wenden</t>
  </si>
  <si>
    <t xml:space="preserve"> 138-168</t>
  </si>
  <si>
    <t>Vijzel Red Bluff</t>
  </si>
  <si>
    <t>McNabb, C.D., Liston, C.R. &amp; S.M. Borthwick, 2003. Passage of Juvenile Chinook Salmon and Other Fish Species through Archimedes Lifts and a Hidrostal Pump at Red Bluff, California Transactions of the American Fisheries Society 132:326-334, 2003.</t>
  </si>
  <si>
    <t>√√</t>
  </si>
  <si>
    <t>Overwaard</t>
  </si>
  <si>
    <t>Halfweg (natuurlijke doortrek)</t>
  </si>
  <si>
    <t>Kruitwagen, G. &amp; M. Klinge, 2008. Monitoring van stroomafwaartse migratie van vis bij de gemalen Halfweg, Spaarndam en Gouda. Rapport Witteveen+Bos i.o.v. Hoogheemraadschap van Rijnland.</t>
  </si>
  <si>
    <t>Halfweg (gedwongen blootsteling)</t>
  </si>
  <si>
    <t>Turbinevijzels</t>
  </si>
  <si>
    <t>onb.</t>
  </si>
  <si>
    <t>Hooydonkse Molen</t>
  </si>
  <si>
    <t>Merkx, J.C.A. &amp; F.T. Vriese, 2006. Monitoring vijzel en vispassage Hooidonkse molen. VisAdvies BV, Utrecht. Projectnummer VA2006_41, 18 pag.</t>
  </si>
  <si>
    <t>28-30</t>
  </si>
  <si>
    <t>Vijzel Devon</t>
  </si>
  <si>
    <t>FISHTEK Consulting, 2007. Fish Monitoring and Live Fish Trials. Titz Atro Archimedes Screw Turbine, River Dart. Phase 1 Report: Live fish trials, smolts, leading edge assessment, disorientation study, outflow monitoring. Client± Mann Power Consulting Ltd.</t>
  </si>
  <si>
    <t>Vijzel Bielefeld</t>
  </si>
  <si>
    <t>Spah, H., 2001. Fishery biological opinion of the fish compatibility of the patented hydraulic screw from Ritz Atro. Bielfield, Germany</t>
  </si>
  <si>
    <t>Centrifugaalpomp</t>
  </si>
  <si>
    <t>0,55-1,05</t>
  </si>
  <si>
    <t>Hoekpolder</t>
  </si>
  <si>
    <t>Kruitwagen, G., Klinge, M., 2010. Monitoring van vismigratie bij de gemalen Hoekpolder en Aalkeetbuitenpolder Najaarsonderzoek 2009. Rapport Witteveen+Bos in opdracht van het Hoogheemraadschap van Delfland</t>
  </si>
  <si>
    <t>Duifpolder</t>
  </si>
  <si>
    <t>Vriese F.T., J. Hop, H. Vis &amp; I.L.Y. Spierts, 2010. Bijlagenrapport 4 Centrifugaalpompen. VisAdvies BV, Nieuwegein. Projectnummer VA2009_33, 24 pag.</t>
  </si>
  <si>
    <t>Elektriek-Zuid</t>
  </si>
  <si>
    <t xml:space="preserve">germonpre et al, 1996. xxxxxxxxxxxxxx </t>
  </si>
  <si>
    <t>Verdoold</t>
  </si>
  <si>
    <t>Arcadis, 2007. Onderzoek vismigratie gemaal Verdoold. Rapport Arcadis in opdracht van het Hoogheemraadschap van Schieland en de Krimpenerwaard.</t>
  </si>
  <si>
    <t>Boreel</t>
  </si>
  <si>
    <t>Colijn (Hoge vaart)</t>
  </si>
  <si>
    <t>Hop, J., 2009. Visonderzoek migratieknelpunten. Fase I Najaarsonderzoek. Projectnummer 20080894. In opdracht van Waterschap Zuiderzeeland. ATKB, Geldermalsen, 75 p.</t>
  </si>
  <si>
    <t>Colijn (lage vaart)</t>
  </si>
  <si>
    <t>Gouda (natuurlijk)</t>
  </si>
  <si>
    <t>Gouda (gedwongen)</t>
  </si>
  <si>
    <t>Katwijk</t>
  </si>
  <si>
    <t>Kruitwagen, G., &amp; M. Klinge, 2007. Monitoring van stroomafwaartse migratie van vis bij gemaal Katwijk. Rapport Witteveen+Bos i.o.v. Hoogheemraadschap van Rijnland.</t>
  </si>
  <si>
    <t>Amarex KRT (D)</t>
  </si>
  <si>
    <t>Vis H. &amp; F.T. Vriese, 2010. Bijlagenrapport 10 Visvriendelijke hidrostal en Amarex KRT. VisAdvies BV, Nieuwegein. Projectnummer VA2009_33(10), 18 pag.</t>
  </si>
  <si>
    <t>Schroefcentrifugaalpomp</t>
  </si>
  <si>
    <t>Meerweg</t>
  </si>
  <si>
    <t>Klinge, M., 2008.  Evaluatie van de gemaalvispassage in gemaal Meerweg te Haren. Rapport Witteveen+Bos in opdracht van Waterschap Hunze en Aa's.</t>
  </si>
  <si>
    <t>Meerweg met venturisysteem en stroboscooplampen</t>
  </si>
  <si>
    <t>B.B. Polder</t>
  </si>
  <si>
    <t>Vriese F.T., J. Hop, H. Vis &amp; I.L.Y. Spierts, 2010. Bijlagenrapport 5 Schroefcentrifugaalpompen. VisAdvies BV, Nieuwegein. Projectnummer VA2009_33, 57 pag.</t>
  </si>
  <si>
    <t>Visvriendelijke Hidrostal</t>
  </si>
  <si>
    <t>De Zllk</t>
  </si>
  <si>
    <t>Willem-Alexander</t>
  </si>
  <si>
    <t>Tonnekreek</t>
  </si>
  <si>
    <t>Hongerige Wolf</t>
  </si>
  <si>
    <t>Bonhof, G.H. &amp; G. Wolters. 2010. Onderzoek visschade gemaal Hongerige Wolf. Rapport 2010-010, Koeman en Bijkerk bv, Haren iov Waterschap Hunze en Aa‟s, Veendam.</t>
  </si>
  <si>
    <t>2-5,5</t>
  </si>
  <si>
    <t>Abraham Kroes (Ringvaart gemaal)</t>
  </si>
  <si>
    <t>Kruitwagen, G., Klinge, M., 2010. Monitoring van vismigratie bij 4 potentiële migratieknelpunten voor- en najaarsonderzoek 2009. Rapport Witteveen+Bos in opdracht van het Hoogheemraadschap van Schieland en de Krimpenerwaard.</t>
  </si>
  <si>
    <t>Mealstede</t>
  </si>
  <si>
    <t xml:space="preserve">Jasper, A. &amp; M. Aragon, 2009 Monitoring van visaanbod, beschadiging en sterfte in relatie tot stroomafwaartse vismigratie bij gemaal Mealstede, Tauw, 4548106 </t>
  </si>
  <si>
    <t>6,5-9</t>
  </si>
  <si>
    <t>Abraham Kroes (Poldergemaal)</t>
  </si>
  <si>
    <t>Schilthuis</t>
  </si>
  <si>
    <t>Schoute (natuurlijke doortrek)</t>
  </si>
  <si>
    <t>Kruitwagen, G. &amp; M. Klinge, 2008. Stroomafwaartse passage van vis via gemaal Schoute. Rapport Witteveen+Bos i.o.v. ’s Gravenhaagse Hengelsport Vereniging.</t>
  </si>
  <si>
    <t>Schoute (gedwongen blootstelling)</t>
  </si>
  <si>
    <t>Lijnden</t>
  </si>
  <si>
    <t>Smeenge</t>
  </si>
  <si>
    <t>Hidrostal</t>
  </si>
  <si>
    <t>890-1204</t>
  </si>
  <si>
    <t>Model 16-F. Diameter 15 cm</t>
  </si>
  <si>
    <t>Patrick P.H, R.S. McKinley, 1987. Biological Research Section, Chemical Research Department, Ontario Hydro, 800 Kipling Avenue, Toronto, Ontario M8Z 5S4, Canada</t>
  </si>
  <si>
    <t>Ypenburg</t>
  </si>
  <si>
    <t>Vriese F.T., J. Hop, H. Vis &amp; I.L.Y. Spierts, 2010. Bijlagenrapport 6 Hidrostalpompen. VisAdvies BV, Nieuwegein. Projectnummer VA2009_33, 21 pag.</t>
  </si>
  <si>
    <t>Wogmeer</t>
  </si>
  <si>
    <t>Diameter 12,7 cm</t>
  </si>
  <si>
    <t>Diameter 30,5 cm</t>
  </si>
  <si>
    <t>10,2 - 24</t>
  </si>
  <si>
    <t xml:space="preserve"> 461-601 </t>
  </si>
  <si>
    <t>Diameter 41 cm (gedwongen blootstelling)</t>
  </si>
  <si>
    <t>10,2 - 25</t>
  </si>
  <si>
    <t xml:space="preserve"> 461-601</t>
  </si>
  <si>
    <t>Diameter 41 cm (natuurlijke trek)</t>
  </si>
  <si>
    <t>138 - 168</t>
  </si>
  <si>
    <t xml:space="preserve"> 350-375</t>
  </si>
  <si>
    <t>Diameter 91 cm (gedwongen blootstelling)</t>
  </si>
  <si>
    <t>139 - 168</t>
  </si>
  <si>
    <t>Diameter 91 cm (natuurlijke trek)</t>
  </si>
  <si>
    <t>Gesloten schroefpomp (compact)</t>
  </si>
  <si>
    <t>Gesl. Schroefp. (compact)</t>
  </si>
  <si>
    <t>De Haanwijk</t>
  </si>
  <si>
    <t>Meerpolder</t>
  </si>
  <si>
    <t>Vriese F.T., J. Hop, H. Vis &amp; I.L.Y. Spierts, 2010. Bijlagenrapport 7 Gesloten schroefpompen (compact). VisAdvies BV, Nieuwegein. Projectnummer VA2009_33, 48 pag.</t>
  </si>
  <si>
    <t>HZ Polder</t>
  </si>
  <si>
    <t>Berkel</t>
  </si>
  <si>
    <t>0,5-1</t>
  </si>
  <si>
    <t>Antlia</t>
  </si>
  <si>
    <t>Gesloten schroefpomp</t>
  </si>
  <si>
    <t>Makkemermar</t>
  </si>
  <si>
    <t>Vriese F.T., J. Hop, H. Vis &amp; I.L.Y. Spierts, 2010. Bijlagenrapport 8 Gesloten schroefpompen. VisAdvies BV, Nieuwegein. Projectnummer VA2009_33, 22 pag.</t>
  </si>
  <si>
    <t>2,4 - 3,1</t>
  </si>
  <si>
    <t>Aalkeet buitenpolder</t>
  </si>
  <si>
    <t>Kortenhoef</t>
  </si>
  <si>
    <t>J.L. Hoogland</t>
  </si>
  <si>
    <t>Kruitwagen, G., Klinge, M., 2010. Monitoring van vismigratie bij gemaal J.L. Hoogland en de Johan Friso-sluis. Rapport Witteveen+Bos in opdracht van wetterskip Fryslân.</t>
  </si>
  <si>
    <t>A.F. Stroink</t>
  </si>
  <si>
    <t>M.J. Kroes, J.C.A. Merkx &amp; J.H. Kemper, 2006. In- en uittrek van aal en schubvis in het gebied van Noordwest Overijssel. VisAdvies BV, Utrecht. Projectnummer KO2004_008, 36 pag.</t>
  </si>
  <si>
    <t>Open schroefpomp</t>
  </si>
  <si>
    <t>Thabor</t>
  </si>
  <si>
    <t>Vriese F.T., J. Hop, H. Vis &amp; I.L.Y. Spierts, 2010. Bijlagenrapport 9 Open schroefpompen. VisAdvies BV, Nieuwegein. Projectnummer VA2009_33, 31 pag.</t>
  </si>
  <si>
    <t>Nijverheid</t>
  </si>
  <si>
    <t>Stenensluisvaart</t>
  </si>
  <si>
    <t>Germonpré, E., Denayer, B., Belpaire, C. en Ollevier, F. (1994). Inventarisatie van pompgemalen in het vlaamse gewest en preliminair onderzoek naar schade van diverse pomptypes op vissen na gedwongen blootstelling. Rapporten van het instituut voor bosbouw</t>
  </si>
  <si>
    <t>Offerhaus</t>
  </si>
  <si>
    <t>Vriese, F.T., 2010. Nulmeting schadeprofiel gemaal Offerhaus. VisAdvies BV, Nieuwegein. Projectnummer VA2009_45, 31 pag. + bijlage.</t>
  </si>
  <si>
    <t>Tilburg</t>
  </si>
  <si>
    <t>Den Deel</t>
  </si>
  <si>
    <t>Riemersma, P. &amp; G.J.M. Wintermans, 2005. Optimalisatie vismigratie Den Deel, najaarsonderzoek. Onderzoek naar mogelijkheden inzet scheepvaartsluis ter bevordering van vismigratie bij gemaal Den Deel. Grontmij Noord BV en Wintermans Ecologenbureau.</t>
  </si>
  <si>
    <t xml:space="preserve">IJmuiden </t>
  </si>
  <si>
    <t>Kruitwagen, G., Klinge, M., 2008. Sterfte van schieraal door gemaal IJmuiden, onderzoeksjaar 2008, idem 2009. Rapport Witteveen+Bos in opdracht van Rijkswaterstaat Noord-Holland.</t>
  </si>
  <si>
    <t>Schroefpomp</t>
  </si>
  <si>
    <t>Kralingseplas</t>
  </si>
  <si>
    <t>1,34-4,64</t>
  </si>
  <si>
    <t>Schepradgemaal</t>
  </si>
  <si>
    <t>Spaarndam</t>
  </si>
  <si>
    <t>nvt</t>
  </si>
  <si>
    <t>Faunapomp</t>
  </si>
  <si>
    <r>
      <t xml:space="preserve">Ecologisch </t>
    </r>
    <r>
      <rPr>
        <b/>
        <sz val="10"/>
        <rFont val="Arial"/>
        <family val="2"/>
      </rPr>
      <t>(√: negatief     √√√√√: positief)</t>
    </r>
  </si>
  <si>
    <r>
      <t>Directe schade
 (dummy vis)</t>
    </r>
    <r>
      <rPr>
        <vertAlign val="superscript"/>
        <sz val="10"/>
        <color indexed="10"/>
        <rFont val="Arial"/>
        <family val="2"/>
      </rPr>
      <t xml:space="preserve">     7</t>
    </r>
  </si>
  <si>
    <r>
      <t>Druk</t>
    </r>
    <r>
      <rPr>
        <vertAlign val="superscript"/>
        <sz val="10"/>
        <color indexed="10"/>
        <rFont val="Arial"/>
        <family val="2"/>
      </rPr>
      <t xml:space="preserve">  6</t>
    </r>
  </si>
  <si>
    <r>
      <t xml:space="preserve">Geluid   </t>
    </r>
    <r>
      <rPr>
        <vertAlign val="superscript"/>
        <sz val="10"/>
        <color indexed="10"/>
        <rFont val="Arial"/>
        <family val="2"/>
      </rPr>
      <t>5</t>
    </r>
  </si>
  <si>
    <r>
      <t>2,4</t>
    </r>
    <r>
      <rPr>
        <vertAlign val="superscript"/>
        <sz val="10"/>
        <color indexed="10"/>
        <rFont val="Arial"/>
        <family val="2"/>
      </rPr>
      <t xml:space="preserve"> 1</t>
    </r>
  </si>
  <si>
    <r>
      <t xml:space="preserve">variabel </t>
    </r>
    <r>
      <rPr>
        <vertAlign val="superscript"/>
        <sz val="10"/>
        <color indexed="10"/>
        <rFont val="Arial"/>
        <family val="2"/>
      </rPr>
      <t>2</t>
    </r>
  </si>
  <si>
    <t>Nijhuis Bulbpomp</t>
  </si>
  <si>
    <t>Gesloten schroefpomp FFI</t>
  </si>
  <si>
    <t>VOPO met stroomomdraaiing</t>
  </si>
  <si>
    <t>VOPO met schroefomdraaiing</t>
  </si>
  <si>
    <t>Bulbpomp Nijhuis</t>
  </si>
  <si>
    <t xml:space="preserve">De Wit vijzel </t>
  </si>
  <si>
    <t>De Wit vijzel</t>
  </si>
  <si>
    <t>turbinevijzel</t>
  </si>
  <si>
    <t>radiaalpomp</t>
  </si>
  <si>
    <t>overig</t>
  </si>
  <si>
    <t>Type aanduiding</t>
  </si>
  <si>
    <t>aal</t>
  </si>
  <si>
    <t>rank</t>
  </si>
  <si>
    <t>opvoerwerk</t>
  </si>
  <si>
    <t>INVULLEN OP BASIS VAN OPGAVEN FABRIKANTEN</t>
  </si>
  <si>
    <t>totaalscore</t>
  </si>
  <si>
    <t>INVULLEN</t>
  </si>
  <si>
    <t>geschiktheid</t>
  </si>
  <si>
    <t>voorbeeld</t>
  </si>
  <si>
    <t>gemiddeld schadepercentage per type opvoerwerk</t>
  </si>
  <si>
    <t>Technische geschiktheid</t>
  </si>
  <si>
    <t>m3/min</t>
  </si>
  <si>
    <r>
      <t>Opvoerhoogte (H</t>
    </r>
    <r>
      <rPr>
        <b/>
        <vertAlign val="subscript"/>
        <sz val="10"/>
        <rFont val="Corbel"/>
        <family val="2"/>
      </rPr>
      <t>stat</t>
    </r>
    <r>
      <rPr>
        <b/>
        <sz val="10"/>
        <rFont val="Corbel"/>
        <family val="2"/>
      </rPr>
      <t>)</t>
    </r>
  </si>
  <si>
    <t>Gewenste capaciteit</t>
  </si>
  <si>
    <t>Geschiktheid</t>
  </si>
  <si>
    <t>capaciteit (Q)</t>
  </si>
  <si>
    <t xml:space="preserve">overige vissoorten </t>
  </si>
  <si>
    <t>baarsachtigen &gt; 15cm</t>
  </si>
  <si>
    <t>baarsachtigen &lt; 15cm</t>
  </si>
  <si>
    <t>baarsachtigen totaal</t>
  </si>
  <si>
    <t>karperachtigen &lt; 15cm</t>
  </si>
  <si>
    <t>karperachtigen totaal</t>
  </si>
  <si>
    <t>standaard deviatie schadepercentage per type opvoerwerk</t>
  </si>
  <si>
    <t>hoofdtype</t>
  </si>
  <si>
    <t>hoofdtype opvoerwerk</t>
  </si>
  <si>
    <t>som</t>
  </si>
  <si>
    <t>benaming opvoerwerk</t>
  </si>
  <si>
    <t>opvoerhoogte</t>
  </si>
  <si>
    <t>Score</t>
  </si>
  <si>
    <t>ja</t>
  </si>
  <si>
    <t>nee</t>
  </si>
  <si>
    <t>Oplossing geschikt?</t>
  </si>
  <si>
    <t>Wenselijkheid/geschiktheid oplossingsrichting</t>
  </si>
  <si>
    <t>oplossingsrichting</t>
  </si>
  <si>
    <t>totaal score</t>
  </si>
  <si>
    <t>Vaststelling totaalscore</t>
  </si>
  <si>
    <t>Stap 3: Eindbeoordeling</t>
  </si>
  <si>
    <t>Turbinevijzel</t>
  </si>
  <si>
    <t>Half-axiaal</t>
  </si>
  <si>
    <t>deelscore vis</t>
  </si>
  <si>
    <t>deelscore techniek</t>
  </si>
  <si>
    <t>geen noodzaak voor visvriendelijke oplossing</t>
  </si>
  <si>
    <t>visvriendelijke oplossing wenselijk</t>
  </si>
  <si>
    <t>visvriendelijke oplossing noodzakelijk</t>
  </si>
  <si>
    <t>toegekend gewicht is afhankelijk van wenselijkheid</t>
  </si>
  <si>
    <t>geen noodzaak, gewicht = 1</t>
  </si>
  <si>
    <t>wenselijk, gewicht = 2</t>
  </si>
  <si>
    <t>noodzakelijk, gewicht = 3</t>
  </si>
  <si>
    <t>Scheprad</t>
  </si>
  <si>
    <t>Oplossing wenselijk?</t>
  </si>
  <si>
    <t>Wenselijkheid/geschiktheid type opvoerwerk</t>
  </si>
  <si>
    <t>Oordeel type wenselijk</t>
  </si>
  <si>
    <t>wenselijkheid visvriendelijke oplossing:</t>
  </si>
  <si>
    <t>Drukpomp</t>
  </si>
  <si>
    <t>m</t>
  </si>
  <si>
    <t>&gt;6-7</t>
  </si>
  <si>
    <t>&gt;7</t>
  </si>
  <si>
    <t>dominant in eindscore</t>
  </si>
  <si>
    <t>Zo nee, waarom niet? (voor eigen informatie)</t>
  </si>
  <si>
    <t>aantal waarnemingen</t>
  </si>
  <si>
    <t>aantal</t>
  </si>
  <si>
    <t>gevonden minimumwaarde</t>
  </si>
  <si>
    <t>gemiddelde overleving</t>
  </si>
  <si>
    <t>minimale overleving</t>
  </si>
  <si>
    <t>maximale overleving</t>
  </si>
  <si>
    <t>score t.o.v. hoogste score</t>
  </si>
  <si>
    <t>=</t>
  </si>
  <si>
    <t>Onderstaand wordt alleen een score toegekend als het type opvoerwerk en de oplossingsrichting wenselijk zijn</t>
  </si>
  <si>
    <t>Stap 1: TECHNIEK</t>
  </si>
  <si>
    <t>Stap 2: VIS</t>
  </si>
  <si>
    <t xml:space="preserve">Gewenste opvoerhoogte </t>
  </si>
  <si>
    <t>maximale score = 1</t>
  </si>
  <si>
    <t>Relevant bereik kleurt oranje</t>
  </si>
  <si>
    <t>Eindbeoordeling</t>
  </si>
  <si>
    <t xml:space="preserve">Eindbeoordeling </t>
  </si>
  <si>
    <t>Finetuning</t>
  </si>
  <si>
    <t>Beoordeling vis</t>
  </si>
  <si>
    <t>Schade- en overlevingspercentages</t>
  </si>
  <si>
    <t>Criterium Capaciteit</t>
  </si>
  <si>
    <t>Criterium Opvoerhoogte</t>
  </si>
  <si>
    <t>Beoordeling technische geschiktheid</t>
  </si>
  <si>
    <t>Gehanteerde waarden voor relatieve geschiktheid zijn gebaseerd op de toepassing in de huidige praktijk</t>
  </si>
  <si>
    <t>12 - 360 m3/min</t>
  </si>
  <si>
    <t>180 - 1.800 m3/min</t>
  </si>
  <si>
    <t>toepassingsbereik</t>
  </si>
  <si>
    <t>25 - &gt;333 m3/min</t>
  </si>
  <si>
    <t>Spaans Babcock</t>
  </si>
  <si>
    <t>10-168 m3/min</t>
  </si>
  <si>
    <t>&lt;26,4 m3/min</t>
  </si>
  <si>
    <t>* onderzochte capaciteit binnen Gemalenonderzoek</t>
  </si>
  <si>
    <t>5 m3/min*</t>
  </si>
  <si>
    <t>3.000 m3/min*</t>
  </si>
  <si>
    <t>25 m3/min*</t>
  </si>
  <si>
    <t>12,5 m3/min*</t>
  </si>
  <si>
    <t>gevraagde capaciteit</t>
  </si>
  <si>
    <t>Hillekade</t>
  </si>
  <si>
    <t>Wanink, J., Bonhof, G.H., Bouton, N., Slabbekoorn, H., 2012. Project vissen zwemmen weer heen en weer: vismonitoring en geluidsmetingen, najaar 2011</t>
  </si>
  <si>
    <t>?</t>
  </si>
  <si>
    <t>visvriendelijke vijzel (Spaans Babcock)</t>
  </si>
  <si>
    <t>Tabblad Eindbeoordeling</t>
  </si>
  <si>
    <t>Tabblad Vis</t>
  </si>
  <si>
    <t>Tabblad Techniek</t>
  </si>
  <si>
    <t xml:space="preserve">Bovenaan het tabblad Techniek wordt gevraagd om de gewenste capaciteit en opvoerhoogte in te voeren. </t>
  </si>
  <si>
    <t xml:space="preserve">Op het tabblad Techniek wordt op basis van enkele technische specificaties een beoordeling gemaakt van de geschiktheid van de verschillende hoofdtypen opvoerwerken (axiaalpompen, half-axiaalpompen, radiaalpompen of vijzels). Hierbij wordt gebruik gemaakt van de gegevens die in de bureaustudie, fase 2 van het Gemalenonderzoek, zijn verzameld. In deze bureaustudie is een inventarisatie gemaakt om een representatief beeld te krijgen van de Nederlandse gemalen en hun opvoerwerken. Van 2.813 opvoerwerken is informatie verkregen over het type opvoerwerk en van 998 opvoerwerken is bekend wat de opvoerhoogte is. In het rapport over fase 2 is per hoofdtype weergegeven hoe de geïnventariseerde opvoerwerken verdeeld zijn verschillende klassen van capaciteit en opvoerhoogte. De frequentieverdeling van de geïnventariseerde opvoerwerken over de diversen klassen is op het tabblad Techniek, in overleg met technici van verschillende waterschappen, vertaald naar een mate van geschiktheid. </t>
  </si>
  <si>
    <t>Opzet</t>
  </si>
  <si>
    <t>Werkwijze</t>
  </si>
  <si>
    <t>Vervolgens wordt in de tabel in stap 1 in oranje weergegeven in welke capaciteitsklasse de gewenste capaciteit valt. Voor deze capaciteitsklasse wordt de geschiktheid van de verschillende hoofdtypen opvoerwerken weergegeven door middel van een percentage. Op basis van dit percentage worden punten in het gele kader toegekend aan elk hoofdtype.</t>
  </si>
  <si>
    <t>In stap 2 wordt in oranje weergegeven in welke klasse de gewenste opvoerhoogte valt. Voor deze klasse wordt de geschiktheid van de verschillende hoofdtypen opvoerwerken weergegeven door middel van een percentage. Op basis van dit percentage worden punten in het gele kader toegekend aan elk hoofdtype.</t>
  </si>
  <si>
    <t xml:space="preserve">In stap 3 worden de punten uit stappen 1 en 2 bij elkaar opgeteld. Vervolgens wordt voor elk hoofdtype het behaalde aantal punten gedeeld door de hoogste aantal toegekende punten. Het getal dat hieruit komt is de deelscore voor techniek. </t>
  </si>
  <si>
    <t>aanduiding specifiek opvoerwerk</t>
  </si>
  <si>
    <t>punten oplossing geschikt?</t>
  </si>
  <si>
    <t>punten type geschikt?</t>
  </si>
  <si>
    <t>combinatie punten</t>
  </si>
  <si>
    <t>onderstaand wordt geen score toegekend als er geen schadepercentage voor de doelgroep is bepaald</t>
  </si>
  <si>
    <t>Als geen punten zijn toegekend voor de deelscore techniek, is het hoofdtype niet behandeld in de literatuurstudie</t>
  </si>
  <si>
    <t xml:space="preserve">Als geen punten zijn toegekend voor de deelscore vis, is voor het betreffende opvoerwerk geen schadepercentage bekend </t>
  </si>
  <si>
    <t>Sterfte</t>
  </si>
  <si>
    <t>Percentages</t>
  </si>
  <si>
    <t>Totaal schubvis</t>
  </si>
  <si>
    <t>Aantal passanten</t>
  </si>
  <si>
    <t>gevonden maximumwaarde</t>
  </si>
  <si>
    <t xml:space="preserve"> karperachtigen &gt; 15cm</t>
  </si>
  <si>
    <t>schubvis &lt;15cm</t>
  </si>
  <si>
    <t>schubvis &gt;15cm</t>
  </si>
  <si>
    <t>totaal schubvis</t>
  </si>
  <si>
    <t>overlevingspercentage</t>
  </si>
  <si>
    <t>gevonden minimumwaarde sterfte</t>
  </si>
  <si>
    <t>gevonden maximumwaarde sterfte</t>
  </si>
  <si>
    <t>voorkomen in de praktijk</t>
  </si>
  <si>
    <t>STOWA Gemalenwijzer - deel Vis</t>
  </si>
  <si>
    <t>STOWA Gemalenwijzer - deel Techniek</t>
  </si>
  <si>
    <t>Toelichting op STOWA Gemalenwijzer</t>
  </si>
  <si>
    <t>-   fase 3: praktijkonderzoek naar de visvriendelijkheid van 26 opvoerwerktuigen, inclusief de ontwikkeling van een consumententabel.</t>
  </si>
  <si>
    <t>Op het tabblad Vis wordt op basis van de mate van visvriendelijkheid een rangschikking gemaakt de beschikbare opvoerwerken. Hierbij wordt gebruik gemaakt van de gegevens die in de consumententabel zijn opgenomen. In de consumententabel zijn de resultaten van praktijkonderzoek naar de visschade in gemalen opgenomen. Dit betreft zowel het onderzoek aan 26 opvoerwerken dat als onderdeel van het STOWA gemalenonderzoek is uitgevoerd als beschikbare resultaten van eerder uitgevoerde onderzoeken. In de consumententabel is voor de onderzochte gemalen en hun opvoerwerken weergegeven welke schadepercentages er voor verschillende visdoelgroepen gevonden zijn.</t>
  </si>
  <si>
    <t>In stap 1 zijn de resultaten uit de consumententabel samengevat in een schadepercentage per opvoerwerk. Per opvoerwerk (bijvoorbeeld de BEVERON-pomp) is weergegeven tot welk hoofdtype het opvoerwerk behoort (half-axiaal voor de BEVERON-pomp) en wat het gemiddelde schadepercentage per doelgroep is. Dit schadepercentage is vervolgens omgerekend naar een overlevingspercentage.</t>
  </si>
  <si>
    <t>In stap 2 zijn de gevonden overlevingspercentages weergegeven voor de gekozen doelgroep. In de volgende kolom is voor elk type opvoerwerk het gevonden overlevingspercentage gedeeld door het hoogste voorkomende overlevingspercentage, dit levert de deelscore voor Vis. In de navolgende kolommen wordt als achtergrond informatie weergegeven op hoeveel waarnemingen in de consumententabel het weergegeven percentage berekend is en wat de uitersten zijn in de gevonden overlevingspercentages.</t>
  </si>
  <si>
    <t>gemiddeld schadepercentage per type opvoerwerk (volgt uit consumententabel)</t>
  </si>
  <si>
    <t>vertaling in overlevingspercentage (volgt uit consumententabel)</t>
  </si>
  <si>
    <t>STOWA Gemalenwijzer - Eindbeoordeling</t>
  </si>
  <si>
    <t>invulbaar toepassingsbereik</t>
  </si>
  <si>
    <t>tekstkleur geeft aantal onderzochte opvoerwerken weer</t>
  </si>
  <si>
    <t>blanco veld = geen onderzoeksresultaten bekend</t>
  </si>
  <si>
    <r>
      <t>groen</t>
    </r>
    <r>
      <rPr>
        <sz val="10"/>
        <rFont val="Corbel"/>
        <family val="2"/>
      </rPr>
      <t xml:space="preserve"> = percentage gebaseerd op meer dan 5 onderzochte opvoerwerken</t>
    </r>
  </si>
  <si>
    <r>
      <t>blauw</t>
    </r>
    <r>
      <rPr>
        <sz val="10"/>
        <rFont val="Corbel"/>
        <family val="2"/>
      </rPr>
      <t xml:space="preserve"> = percentage gebaseerd op meer dan 1, maar minder dan 5 onderzochte opvoerwerken</t>
    </r>
  </si>
  <si>
    <r>
      <t>rood</t>
    </r>
    <r>
      <rPr>
        <sz val="10"/>
        <rFont val="Corbel"/>
        <family val="2"/>
      </rPr>
      <t xml:space="preserve"> = percentage gebaseerd op 1 onderzocht opvoerwerk</t>
    </r>
  </si>
  <si>
    <t>Krimpenerwaard</t>
  </si>
  <si>
    <t>toepassingsbereik (vul aanvullingen hiernaast in)</t>
  </si>
  <si>
    <t xml:space="preserve">De Gemalenwijzer is bedoeld om de kennis die in het onderzoek is opgedaan te vertalen naar praktische handvatten die waterbeheerders kunnen gebruiken om bij nieuwbouw of renovatie van een gemaal het best passende type opvoerwerk te selecteren. De Gemalenwijzer geeft op basis van enkele invoergegevens een richtinggevend advies. Het doel is om inhoudelijke discussies tussen techneuten en ecologen over visvriendelijke gemalen te stimuleren en te faciliteren. </t>
  </si>
  <si>
    <t>In de STOWA Gemalenwijzer zijn de onderzoeksresultaten van het STOWA gemalenonderzoek samengevat. Het onderzoek was gericht op de visvriendelijkheid van gemalen, waarbij onder visvriendelijkheid wordt verstaan dat gemalen in stroomafwaartse richting passeerbaar én overleefbaar zijn voor vissen. Binnen het onderzoek zijn de volgende werkstappen onderscheiden:</t>
  </si>
  <si>
    <t>De Gemalenwijzer is gebaseerd op de gegevens die nu beschikbaar zijn. In de loop van de tijd zullen nieuwe onderzoeksresultaten en nieuwe opvoerwerken beschikbaar komen. Het doel is om de STOWA Gemalenwijzer visvriendelijke gemalen een levend instrument te laten zijn dat periodiek wordt bijgewerkt om recente ontwikkelingen een plek te kunnen geven in het kader.</t>
  </si>
  <si>
    <t>De Gemalenwijzer bestaat uit 3 tabbladen: techniek, vis en eindbeoordeling. Daarnaast is de consumententabel toegevoegd als achtergronddocument.</t>
  </si>
  <si>
    <t>Kroes, M. &amp; De Boer, M., 2013. Evaluatie stroboscooplampen en FishTrack bij gemaal Offerhaus. Rapport TAUW in opdracht van de CvB.</t>
  </si>
  <si>
    <t>Open schroefpomp (Hubert OVS 820)</t>
  </si>
  <si>
    <t>Dongerdielen</t>
  </si>
  <si>
    <t>Gerbrandy gemaal Gaustersyl</t>
  </si>
  <si>
    <t>Koopmans, M., 2013. Monitoring vismigratie bij 14 kunstwerken in het beheergebied van Wetterskip Fryslân, Najaar 2012. A&amp;W-rapport 1863</t>
  </si>
  <si>
    <t>Schanserbrug</t>
  </si>
  <si>
    <t>Cornjum Klaailan</t>
  </si>
  <si>
    <t>Schalsum</t>
  </si>
  <si>
    <t>Kroes, M. &amp; De Boer, M., 2013. Evaluatie Fis-lampen gemaal Schanserbrug. Rapport TAUW in opdracht van de CvB.</t>
  </si>
  <si>
    <t>Buisvijzel (Landustrie Sneek BV)</t>
  </si>
  <si>
    <t>Vis H., Q.A.A. de Bruijn &amp; J.H. Kemper, 2013. Onderzoek naar de visoverleefbaarheid bij vijzelgemaal Ennemaborgh op 23 oktober 2012. Projectnummr VA2012_25, 22 pag.</t>
  </si>
  <si>
    <t>VisserijServiceNederland, 2010. Onderzoek najaarsmigratie van vis Gemaal Bergermeer</t>
  </si>
  <si>
    <t>Bergermeer</t>
  </si>
  <si>
    <t>Grootslag</t>
  </si>
  <si>
    <t>Kroon, J.W. &amp; A.N. van Wijk, 2013. Monitoring vismigratieknelpunten 2012; Voor- en najaarsbemonstering bij diverse sluizen en gemalen, VSN2012.02. Visserij Service Nederland in opdracht van Stichting Waterproef</t>
  </si>
  <si>
    <t>Leemans</t>
  </si>
  <si>
    <t>Zeevang</t>
  </si>
  <si>
    <t>Kadoelen</t>
  </si>
  <si>
    <t>VisserijServiceNederland, 2010. Onderzoek najaarsmigratie van vis 2010 naar het Noordzeekanaal vanuit het beheergebied van hoogheemraadschap Hollands Noorderkwartier</t>
  </si>
  <si>
    <t>De Waker</t>
  </si>
  <si>
    <t>Zaangemaal</t>
  </si>
  <si>
    <t>Overtoom</t>
  </si>
  <si>
    <t>Kroon, J.W. &amp; A.N. van Wijk, 2012. Monitoring vismigratieknelpunten 2011; Voor- en najaarsbemonstering bij diverse sluizen en gemalen, VSN2011.01. Visserij Service Nederland in opdracht van Hoogheemraadschap Hollands Noorderkwartier.</t>
  </si>
  <si>
    <t>Meldijk</t>
  </si>
  <si>
    <t>Balgdijk</t>
  </si>
  <si>
    <t>JC de Leeuw</t>
  </si>
  <si>
    <t>De Waakzaamheid</t>
  </si>
  <si>
    <t>Vijzel (Spaans Babcock)</t>
  </si>
  <si>
    <t>Vijzel (Landustrie)</t>
  </si>
  <si>
    <t>Kolhorn</t>
  </si>
  <si>
    <t>open schroefpomp</t>
  </si>
  <si>
    <t>horizontale schroefpomp (kattenrug)</t>
  </si>
  <si>
    <t>Horizontale schroefpomp (kattenrug)</t>
  </si>
  <si>
    <t>&gt;100 m3/min</t>
  </si>
  <si>
    <t>Capaciteit per pomp  (m3/min)</t>
  </si>
</sst>
</file>

<file path=xl/styles.xml><?xml version="1.0" encoding="utf-8"?>
<styleSheet xmlns="http://schemas.openxmlformats.org/spreadsheetml/2006/main">
  <numFmts count="4">
    <numFmt numFmtId="171" formatCode="_-* #,##0.00_-;_-* #,##0.00\-;_-* &quot;-&quot;??_-;_-@_-"/>
    <numFmt numFmtId="174" formatCode="0.000"/>
    <numFmt numFmtId="180" formatCode="0.0"/>
    <numFmt numFmtId="188" formatCode="_-* #,##0_-;_-* #,##0\-;_-* &quot;-&quot;??_-;_-@_-"/>
  </numFmts>
  <fonts count="59">
    <font>
      <sz val="10"/>
      <name val="Arial"/>
    </font>
    <font>
      <sz val="10"/>
      <name val="Arial"/>
    </font>
    <font>
      <sz val="8"/>
      <name val="Arial"/>
      <family val="2"/>
    </font>
    <font>
      <b/>
      <sz val="10"/>
      <name val="Arial"/>
      <family val="2"/>
    </font>
    <font>
      <sz val="10"/>
      <color indexed="9"/>
      <name val="Corbel"/>
      <family val="2"/>
    </font>
    <font>
      <b/>
      <sz val="10"/>
      <color indexed="10"/>
      <name val="Corbel"/>
      <family val="2"/>
    </font>
    <font>
      <sz val="10"/>
      <color indexed="43"/>
      <name val="Corbel"/>
      <family val="2"/>
    </font>
    <font>
      <b/>
      <sz val="10"/>
      <color indexed="9"/>
      <name val="Corbel"/>
      <family val="2"/>
    </font>
    <font>
      <b/>
      <sz val="10"/>
      <name val="Arial"/>
      <family val="2"/>
    </font>
    <font>
      <b/>
      <sz val="12"/>
      <name val="Arial"/>
      <family val="2"/>
    </font>
    <font>
      <b/>
      <sz val="12"/>
      <name val="Arial"/>
      <family val="2"/>
    </font>
    <font>
      <sz val="14"/>
      <color indexed="10"/>
      <name val="Arial"/>
      <family val="2"/>
    </font>
    <font>
      <sz val="10"/>
      <name val="Arial"/>
      <family val="2"/>
    </font>
    <font>
      <vertAlign val="superscript"/>
      <sz val="10"/>
      <color indexed="10"/>
      <name val="Arial"/>
      <family val="2"/>
    </font>
    <font>
      <sz val="8"/>
      <name val="Arial"/>
      <family val="2"/>
    </font>
    <font>
      <i/>
      <sz val="11"/>
      <name val="Times"/>
    </font>
    <font>
      <b/>
      <sz val="8"/>
      <color indexed="81"/>
      <name val="Tahoma"/>
      <family val="2"/>
    </font>
    <font>
      <sz val="8"/>
      <color indexed="81"/>
      <name val="Tahoma"/>
      <family val="2"/>
    </font>
    <font>
      <sz val="10"/>
      <color indexed="55"/>
      <name val="Arial"/>
      <family val="2"/>
    </font>
    <font>
      <b/>
      <sz val="18"/>
      <name val="Corbel"/>
      <family val="2"/>
    </font>
    <font>
      <sz val="10"/>
      <name val="Corbel"/>
      <family val="2"/>
    </font>
    <font>
      <b/>
      <sz val="14"/>
      <color indexed="10"/>
      <name val="Corbel"/>
      <family val="2"/>
    </font>
    <font>
      <b/>
      <sz val="10"/>
      <name val="Corbel"/>
      <family val="2"/>
    </font>
    <font>
      <sz val="10"/>
      <color indexed="22"/>
      <name val="Corbel"/>
      <family val="2"/>
    </font>
    <font>
      <b/>
      <vertAlign val="subscript"/>
      <sz val="10"/>
      <name val="Corbel"/>
      <family val="2"/>
    </font>
    <font>
      <i/>
      <sz val="10"/>
      <name val="Corbel"/>
      <family val="2"/>
    </font>
    <font>
      <b/>
      <sz val="10"/>
      <color indexed="22"/>
      <name val="Corbel"/>
      <family val="2"/>
    </font>
    <font>
      <b/>
      <sz val="36"/>
      <name val="Corbel"/>
      <family val="2"/>
    </font>
    <font>
      <sz val="10"/>
      <color indexed="10"/>
      <name val="Corbel"/>
      <family val="2"/>
    </font>
    <font>
      <sz val="10"/>
      <color indexed="48"/>
      <name val="Corbel"/>
      <family val="2"/>
    </font>
    <font>
      <sz val="10"/>
      <color indexed="8"/>
      <name val="Corbel"/>
      <family val="2"/>
    </font>
    <font>
      <b/>
      <i/>
      <sz val="10"/>
      <color indexed="10"/>
      <name val="Corbel"/>
      <family val="2"/>
    </font>
    <font>
      <sz val="10"/>
      <color indexed="12"/>
      <name val="Corbel"/>
      <family val="2"/>
    </font>
    <font>
      <sz val="10"/>
      <color indexed="17"/>
      <name val="Corbel"/>
      <family val="2"/>
    </font>
    <font>
      <b/>
      <sz val="12"/>
      <name val="Corbel"/>
      <family val="2"/>
    </font>
    <font>
      <sz val="10"/>
      <color indexed="52"/>
      <name val="Corbel"/>
      <family val="2"/>
    </font>
    <font>
      <sz val="10"/>
      <color indexed="44"/>
      <name val="Corbel"/>
      <family val="2"/>
    </font>
    <font>
      <b/>
      <u/>
      <sz val="10"/>
      <name val="Corbel"/>
      <family val="2"/>
    </font>
    <font>
      <sz val="8"/>
      <name val="Corbel"/>
      <family val="2"/>
    </font>
    <font>
      <b/>
      <u/>
      <sz val="14"/>
      <name val="Corbel"/>
      <family val="2"/>
    </font>
    <font>
      <sz val="11"/>
      <name val="Corbel"/>
      <family val="2"/>
    </font>
    <font>
      <sz val="11"/>
      <color indexed="8"/>
      <name val="Corbel"/>
      <family val="2"/>
    </font>
    <font>
      <b/>
      <sz val="11"/>
      <name val="Corbel"/>
      <family val="2"/>
    </font>
    <font>
      <b/>
      <sz val="10"/>
      <color indexed="43"/>
      <name val="Corbel"/>
      <family val="2"/>
    </font>
    <font>
      <b/>
      <i/>
      <sz val="10"/>
      <name val="Corbel"/>
      <family val="2"/>
    </font>
    <font>
      <b/>
      <sz val="10"/>
      <color indexed="10"/>
      <name val="Arial"/>
      <family val="2"/>
    </font>
    <font>
      <sz val="11"/>
      <name val="Times"/>
    </font>
    <font>
      <sz val="9"/>
      <color indexed="81"/>
      <name val="Tahoma"/>
      <family val="2"/>
    </font>
    <font>
      <b/>
      <sz val="9"/>
      <color indexed="81"/>
      <name val="Tahoma"/>
      <family val="2"/>
    </font>
    <font>
      <sz val="10"/>
      <color theme="1"/>
      <name val="Arial"/>
      <family val="2"/>
    </font>
    <font>
      <sz val="8"/>
      <color theme="1"/>
      <name val="Arial"/>
      <family val="2"/>
    </font>
    <font>
      <sz val="10"/>
      <color theme="9" tint="-0.249977111117893"/>
      <name val="Corbel"/>
      <family val="2"/>
    </font>
    <font>
      <b/>
      <sz val="10"/>
      <color theme="9" tint="-0.249977111117893"/>
      <name val="Corbel"/>
      <family val="2"/>
    </font>
    <font>
      <sz val="10"/>
      <color theme="9"/>
      <name val="Corbel"/>
      <family val="2"/>
    </font>
    <font>
      <sz val="10"/>
      <color theme="0"/>
      <name val="Corbel"/>
      <family val="2"/>
    </font>
    <font>
      <b/>
      <sz val="10"/>
      <color theme="0"/>
      <name val="Corbel"/>
      <family val="2"/>
    </font>
    <font>
      <sz val="10"/>
      <color rgb="FFFF0000"/>
      <name val="Corbel"/>
      <family val="2"/>
    </font>
    <font>
      <b/>
      <sz val="10"/>
      <color rgb="FFFF0000"/>
      <name val="Corbel"/>
      <family val="2"/>
    </font>
    <font>
      <sz val="10"/>
      <color theme="0"/>
      <name val="Arial"/>
      <family val="2"/>
    </font>
  </fonts>
  <fills count="14">
    <fill>
      <patternFill patternType="none"/>
    </fill>
    <fill>
      <patternFill patternType="gray125"/>
    </fill>
    <fill>
      <patternFill patternType="solid">
        <fgColor indexed="22"/>
        <bgColor indexed="64"/>
      </patternFill>
    </fill>
    <fill>
      <patternFill patternType="solid">
        <fgColor indexed="46"/>
        <bgColor indexed="64"/>
      </patternFill>
    </fill>
    <fill>
      <patternFill patternType="solid">
        <fgColor indexed="50"/>
        <bgColor indexed="64"/>
      </patternFill>
    </fill>
    <fill>
      <patternFill patternType="solid">
        <fgColor indexed="51"/>
        <bgColor indexed="64"/>
      </patternFill>
    </fill>
    <fill>
      <patternFill patternType="solid">
        <fgColor indexed="9"/>
        <bgColor indexed="64"/>
      </patternFill>
    </fill>
    <fill>
      <patternFill patternType="solid">
        <fgColor indexed="13"/>
        <bgColor indexed="64"/>
      </patternFill>
    </fill>
    <fill>
      <patternFill patternType="solid">
        <fgColor indexed="43"/>
        <bgColor indexed="64"/>
      </patternFill>
    </fill>
    <fill>
      <patternFill patternType="solid">
        <fgColor indexed="40"/>
        <bgColor indexed="64"/>
      </patternFill>
    </fill>
    <fill>
      <patternFill patternType="solid">
        <fgColor indexed="14"/>
        <bgColor indexed="64"/>
      </patternFill>
    </fill>
    <fill>
      <patternFill patternType="solid">
        <fgColor indexed="45"/>
        <bgColor indexed="64"/>
      </patternFill>
    </fill>
    <fill>
      <patternFill patternType="solid">
        <fgColor indexed="44"/>
        <bgColor indexed="64"/>
      </patternFill>
    </fill>
    <fill>
      <patternFill patternType="solid">
        <fgColor theme="0"/>
        <bgColor indexed="64"/>
      </patternFill>
    </fill>
  </fills>
  <borders count="5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thin">
        <color indexed="22"/>
      </left>
      <right style="thin">
        <color indexed="64"/>
      </right>
      <top style="thin">
        <color indexed="22"/>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22"/>
      </right>
      <top style="thin">
        <color indexed="22"/>
      </top>
      <bottom style="thin">
        <color indexed="22"/>
      </bottom>
      <diagonal/>
    </border>
    <border>
      <left/>
      <right/>
      <top/>
      <bottom style="medium">
        <color indexed="64"/>
      </bottom>
      <diagonal/>
    </border>
  </borders>
  <cellStyleXfs count="3">
    <xf numFmtId="0" fontId="0" fillId="0" borderId="0"/>
    <xf numFmtId="171" fontId="1" fillId="0" borderId="0" applyFont="0" applyFill="0" applyBorder="0" applyAlignment="0" applyProtection="0"/>
    <xf numFmtId="9" fontId="1" fillId="0" borderId="0" applyFont="0" applyFill="0" applyBorder="0" applyAlignment="0" applyProtection="0"/>
  </cellStyleXfs>
  <cellXfs count="465">
    <xf numFmtId="0" fontId="0" fillId="0" borderId="0" xfId="0"/>
    <xf numFmtId="0" fontId="0" fillId="0" borderId="1" xfId="0" applyBorder="1"/>
    <xf numFmtId="0" fontId="0" fillId="0" borderId="2" xfId="0" applyBorder="1"/>
    <xf numFmtId="0" fontId="0" fillId="0" borderId="2" xfId="0" applyBorder="1" applyAlignment="1">
      <alignment horizontal="center"/>
    </xf>
    <xf numFmtId="0" fontId="0" fillId="0" borderId="0" xfId="0" applyFill="1" applyBorder="1"/>
    <xf numFmtId="0" fontId="0" fillId="0" borderId="3" xfId="0" applyBorder="1"/>
    <xf numFmtId="0" fontId="0" fillId="2" borderId="4" xfId="0" applyFill="1" applyBorder="1"/>
    <xf numFmtId="0" fontId="1" fillId="2" borderId="5" xfId="0" applyFont="1" applyFill="1" applyBorder="1"/>
    <xf numFmtId="0" fontId="1" fillId="2" borderId="6" xfId="0" applyFont="1" applyFill="1" applyBorder="1"/>
    <xf numFmtId="0" fontId="9" fillId="2" borderId="5" xfId="0" applyFont="1" applyFill="1" applyBorder="1" applyAlignment="1">
      <alignment horizontal="center" vertical="center"/>
    </xf>
    <xf numFmtId="0" fontId="9" fillId="2" borderId="5" xfId="0" applyFont="1" applyFill="1" applyBorder="1" applyAlignment="1">
      <alignment horizontal="center"/>
    </xf>
    <xf numFmtId="0" fontId="0" fillId="0" borderId="0" xfId="0" applyBorder="1" applyAlignment="1">
      <alignment horizontal="center"/>
    </xf>
    <xf numFmtId="0" fontId="11" fillId="0" borderId="0" xfId="0" applyFont="1" applyFill="1" applyBorder="1"/>
    <xf numFmtId="0" fontId="8" fillId="3" borderId="6" xfId="0" applyFont="1" applyFill="1" applyBorder="1" applyAlignment="1">
      <alignment horizontal="right"/>
    </xf>
    <xf numFmtId="0" fontId="8" fillId="3" borderId="5" xfId="0" applyFont="1" applyFill="1" applyBorder="1" applyAlignment="1">
      <alignment horizontal="right"/>
    </xf>
    <xf numFmtId="0" fontId="3" fillId="4" borderId="7" xfId="0" applyFont="1" applyFill="1" applyBorder="1" applyAlignment="1">
      <alignment horizontal="center"/>
    </xf>
    <xf numFmtId="0" fontId="12" fillId="2" borderId="8" xfId="0" applyFont="1" applyFill="1" applyBorder="1" applyAlignment="1">
      <alignment vertical="top" textRotation="90" wrapText="1"/>
    </xf>
    <xf numFmtId="0" fontId="12" fillId="3" borderId="3" xfId="0" applyFont="1" applyFill="1" applyBorder="1" applyAlignment="1">
      <alignment horizontal="center" vertical="center" textRotation="90" wrapText="1"/>
    </xf>
    <xf numFmtId="0" fontId="12" fillId="3" borderId="9" xfId="0" applyFont="1" applyFill="1" applyBorder="1" applyAlignment="1">
      <alignment horizontal="center" vertical="center" textRotation="90" wrapText="1"/>
    </xf>
    <xf numFmtId="0" fontId="12" fillId="3" borderId="10" xfId="0" applyFont="1" applyFill="1" applyBorder="1" applyAlignment="1">
      <alignment horizontal="center" vertical="center" textRotation="90" wrapText="1"/>
    </xf>
    <xf numFmtId="0" fontId="12" fillId="4" borderId="8" xfId="0" applyFont="1" applyFill="1" applyBorder="1" applyAlignment="1">
      <alignment horizontal="center" vertical="center" textRotation="90" wrapText="1"/>
    </xf>
    <xf numFmtId="0" fontId="12" fillId="4" borderId="8" xfId="0" applyFont="1" applyFill="1" applyBorder="1" applyAlignment="1">
      <alignment horizontal="center" vertical="center" textRotation="90"/>
    </xf>
    <xf numFmtId="0" fontId="12" fillId="4" borderId="10" xfId="0" applyFont="1" applyFill="1" applyBorder="1" applyAlignment="1">
      <alignment horizontal="center" vertical="center" textRotation="90"/>
    </xf>
    <xf numFmtId="0" fontId="12" fillId="3" borderId="8" xfId="0" applyFont="1" applyFill="1" applyBorder="1" applyAlignment="1">
      <alignment horizontal="center" vertical="center" textRotation="90" wrapText="1"/>
    </xf>
    <xf numFmtId="0" fontId="12" fillId="0" borderId="11" xfId="0" applyFont="1" applyBorder="1" applyAlignment="1">
      <alignment horizontal="center" vertical="top" wrapText="1"/>
    </xf>
    <xf numFmtId="0" fontId="14" fillId="0" borderId="12" xfId="0" applyFont="1" applyBorder="1" applyAlignment="1">
      <alignment vertical="center"/>
    </xf>
    <xf numFmtId="0" fontId="14" fillId="0" borderId="13" xfId="0" applyFont="1" applyBorder="1" applyAlignment="1">
      <alignment horizontal="center" vertical="center"/>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2" fillId="4" borderId="13" xfId="0" applyFont="1" applyFill="1" applyBorder="1" applyAlignment="1">
      <alignment horizontal="center"/>
    </xf>
    <xf numFmtId="0" fontId="12" fillId="4" borderId="14" xfId="0" applyFont="1" applyFill="1" applyBorder="1" applyAlignment="1">
      <alignment horizontal="center"/>
    </xf>
    <xf numFmtId="0" fontId="12" fillId="0" borderId="14" xfId="0" applyFont="1" applyFill="1" applyBorder="1" applyAlignment="1">
      <alignment horizontal="center"/>
    </xf>
    <xf numFmtId="0" fontId="12" fillId="0" borderId="16" xfId="0" applyFont="1" applyFill="1" applyBorder="1" applyAlignment="1">
      <alignment horizontal="center"/>
    </xf>
    <xf numFmtId="0" fontId="12" fillId="0" borderId="17" xfId="0" applyFont="1" applyFill="1" applyBorder="1" applyAlignment="1">
      <alignment horizontal="center"/>
    </xf>
    <xf numFmtId="0" fontId="14" fillId="0" borderId="18" xfId="0" applyFont="1" applyBorder="1" applyAlignment="1">
      <alignment vertical="center"/>
    </xf>
    <xf numFmtId="0" fontId="0" fillId="2" borderId="0" xfId="0" applyFill="1" applyBorder="1"/>
    <xf numFmtId="0" fontId="14" fillId="0" borderId="19" xfId="0" applyFont="1" applyBorder="1" applyAlignment="1">
      <alignment vertical="center" wrapText="1"/>
    </xf>
    <xf numFmtId="0" fontId="14" fillId="0" borderId="20" xfId="0" applyFont="1" applyBorder="1" applyAlignment="1">
      <alignment horizontal="center" vertical="center" wrapText="1"/>
    </xf>
    <xf numFmtId="0" fontId="14" fillId="0" borderId="21" xfId="0" applyFont="1" applyBorder="1" applyAlignment="1">
      <alignment horizontal="center" vertical="center"/>
    </xf>
    <xf numFmtId="0" fontId="14" fillId="0" borderId="19" xfId="0" applyFont="1" applyFill="1" applyBorder="1" applyAlignment="1">
      <alignment horizontal="center" vertical="center"/>
    </xf>
    <xf numFmtId="0" fontId="12" fillId="0" borderId="13" xfId="0" applyFont="1" applyFill="1" applyBorder="1" applyAlignment="1">
      <alignment horizontal="center"/>
    </xf>
    <xf numFmtId="0" fontId="12" fillId="5" borderId="21" xfId="0" applyFont="1" applyFill="1" applyBorder="1" applyAlignment="1">
      <alignment horizontal="center"/>
    </xf>
    <xf numFmtId="0" fontId="12" fillId="0" borderId="22" xfId="0" applyFont="1" applyFill="1" applyBorder="1" applyAlignment="1">
      <alignment horizontal="center"/>
    </xf>
    <xf numFmtId="0" fontId="14" fillId="0" borderId="23" xfId="0" applyFont="1" applyBorder="1" applyAlignment="1">
      <alignment vertical="center" wrapText="1"/>
    </xf>
    <xf numFmtId="0" fontId="14" fillId="0" borderId="12" xfId="0" applyFont="1" applyBorder="1" applyAlignment="1">
      <alignment vertical="center" wrapText="1"/>
    </xf>
    <xf numFmtId="0" fontId="14" fillId="0" borderId="13" xfId="0" applyFont="1" applyBorder="1" applyAlignment="1">
      <alignment horizontal="center" vertical="center" wrapText="1"/>
    </xf>
    <xf numFmtId="0" fontId="12" fillId="5" borderId="13" xfId="0" applyFont="1" applyFill="1" applyBorder="1" applyAlignment="1">
      <alignment horizontal="center"/>
    </xf>
    <xf numFmtId="0" fontId="12" fillId="4" borderId="21" xfId="0" applyFont="1" applyFill="1" applyBorder="1" applyAlignment="1">
      <alignment horizontal="center"/>
    </xf>
    <xf numFmtId="0" fontId="12" fillId="0" borderId="21" xfId="0" applyFont="1" applyFill="1" applyBorder="1" applyAlignment="1">
      <alignment horizontal="center"/>
    </xf>
    <xf numFmtId="0" fontId="14" fillId="0" borderId="22" xfId="0" applyFont="1" applyBorder="1" applyAlignment="1">
      <alignment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19" xfId="0" applyFont="1" applyBorder="1" applyAlignment="1">
      <alignment horizontal="center" vertical="center"/>
    </xf>
    <xf numFmtId="0" fontId="12" fillId="2" borderId="13" xfId="0" applyFont="1" applyFill="1" applyBorder="1" applyAlignment="1">
      <alignment horizontal="center"/>
    </xf>
    <xf numFmtId="0" fontId="2" fillId="0" borderId="23" xfId="0" applyFont="1" applyBorder="1" applyAlignment="1">
      <alignment vertical="center"/>
    </xf>
    <xf numFmtId="0" fontId="12" fillId="2" borderId="20" xfId="0" applyFont="1" applyFill="1" applyBorder="1" applyAlignment="1">
      <alignment horizontal="center"/>
    </xf>
    <xf numFmtId="0" fontId="14" fillId="0" borderId="23" xfId="0" applyFont="1" applyBorder="1" applyAlignment="1">
      <alignment vertical="center"/>
    </xf>
    <xf numFmtId="0" fontId="14" fillId="0" borderId="19" xfId="0" applyFont="1" applyBorder="1" applyAlignment="1">
      <alignment vertical="center"/>
    </xf>
    <xf numFmtId="0" fontId="14" fillId="0" borderId="20" xfId="0" applyFont="1" applyBorder="1" applyAlignment="1">
      <alignment horizontal="center" vertical="center"/>
    </xf>
    <xf numFmtId="0" fontId="14" fillId="0" borderId="19" xfId="0" applyFont="1" applyBorder="1" applyAlignment="1">
      <alignment horizontal="center" vertical="center"/>
    </xf>
    <xf numFmtId="0" fontId="12" fillId="0" borderId="20" xfId="0" applyFont="1" applyFill="1" applyBorder="1" applyAlignment="1">
      <alignment horizontal="center"/>
    </xf>
    <xf numFmtId="0" fontId="12" fillId="4" borderId="20" xfId="0" applyFont="1" applyFill="1" applyBorder="1" applyAlignment="1">
      <alignment horizontal="center"/>
    </xf>
    <xf numFmtId="0" fontId="12" fillId="0" borderId="23" xfId="0" applyFont="1" applyFill="1" applyBorder="1" applyAlignment="1">
      <alignment horizontal="center"/>
    </xf>
    <xf numFmtId="0" fontId="14" fillId="0" borderId="21" xfId="0" applyFont="1" applyFill="1" applyBorder="1" applyAlignment="1">
      <alignment horizontal="center" vertical="center" wrapText="1"/>
    </xf>
    <xf numFmtId="0" fontId="0" fillId="4" borderId="21" xfId="0" applyFill="1" applyBorder="1" applyAlignment="1">
      <alignment horizontal="center"/>
    </xf>
    <xf numFmtId="0" fontId="14" fillId="0" borderId="24" xfId="0" applyFont="1" applyBorder="1" applyAlignment="1">
      <alignment vertical="center" wrapText="1"/>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4" xfId="0" applyFont="1" applyBorder="1" applyAlignment="1">
      <alignment horizontal="center" vertical="center"/>
    </xf>
    <xf numFmtId="0" fontId="2" fillId="0" borderId="27" xfId="0" applyFont="1" applyBorder="1" applyAlignment="1">
      <alignment vertical="center"/>
    </xf>
    <xf numFmtId="0" fontId="14" fillId="0" borderId="27" xfId="0" applyFont="1" applyBorder="1" applyAlignment="1">
      <alignment vertical="center"/>
    </xf>
    <xf numFmtId="0" fontId="2" fillId="0" borderId="28" xfId="0" applyFont="1" applyBorder="1" applyAlignment="1">
      <alignment horizontal="center" vertical="center"/>
    </xf>
    <xf numFmtId="0" fontId="12" fillId="0" borderId="18" xfId="0" applyFont="1" applyFill="1" applyBorder="1" applyAlignment="1">
      <alignment horizont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2" xfId="0" applyFont="1" applyBorder="1" applyAlignment="1">
      <alignment horizontal="center" vertical="center"/>
    </xf>
    <xf numFmtId="0" fontId="2" fillId="0" borderId="22" xfId="0" applyFont="1" applyBorder="1" applyAlignment="1">
      <alignment vertical="center"/>
    </xf>
    <xf numFmtId="0" fontId="14" fillId="0" borderId="22" xfId="0" applyFont="1" applyBorder="1" applyAlignment="1">
      <alignment vertical="center"/>
    </xf>
    <xf numFmtId="0" fontId="12" fillId="0" borderId="29" xfId="0" applyFont="1" applyFill="1" applyBorder="1" applyAlignment="1">
      <alignment horizontal="center"/>
    </xf>
    <xf numFmtId="0" fontId="12" fillId="0" borderId="25" xfId="0" applyFont="1" applyFill="1" applyBorder="1" applyAlignment="1">
      <alignment horizontal="center"/>
    </xf>
    <xf numFmtId="0" fontId="12" fillId="0" borderId="26" xfId="0" applyFont="1" applyFill="1" applyBorder="1" applyAlignment="1">
      <alignment horizontal="center"/>
    </xf>
    <xf numFmtId="0" fontId="12" fillId="0" borderId="30" xfId="0" applyFont="1" applyFill="1" applyBorder="1" applyAlignment="1">
      <alignment horizontal="center"/>
    </xf>
    <xf numFmtId="0" fontId="14" fillId="0" borderId="12" xfId="0" applyFont="1" applyFill="1" applyBorder="1" applyAlignment="1">
      <alignment horizontal="center" vertical="center" wrapText="1"/>
    </xf>
    <xf numFmtId="0" fontId="12" fillId="0" borderId="8" xfId="0" applyFont="1" applyFill="1" applyBorder="1" applyAlignment="1">
      <alignment horizontal="center"/>
    </xf>
    <xf numFmtId="0" fontId="14" fillId="0" borderId="16" xfId="0" applyFont="1" applyBorder="1" applyAlignment="1">
      <alignment vertical="center"/>
    </xf>
    <xf numFmtId="0" fontId="14" fillId="0" borderId="12" xfId="0" applyFont="1" applyBorder="1" applyAlignment="1">
      <alignment horizontal="center" vertical="center"/>
    </xf>
    <xf numFmtId="0" fontId="12" fillId="5" borderId="20" xfId="0" applyFont="1" applyFill="1" applyBorder="1" applyAlignment="1">
      <alignment horizontal="center"/>
    </xf>
    <xf numFmtId="0" fontId="2" fillId="0" borderId="19" xfId="0" applyFont="1" applyBorder="1" applyAlignment="1">
      <alignment vertical="center"/>
    </xf>
    <xf numFmtId="0" fontId="12" fillId="2" borderId="21" xfId="0" applyFont="1" applyFill="1" applyBorder="1" applyAlignment="1">
      <alignment horizontal="center"/>
    </xf>
    <xf numFmtId="1" fontId="12" fillId="4" borderId="21" xfId="0" applyNumberFormat="1" applyFont="1" applyFill="1" applyBorder="1" applyAlignment="1">
      <alignment horizontal="center"/>
    </xf>
    <xf numFmtId="0" fontId="12" fillId="4" borderId="25" xfId="0" applyFont="1" applyFill="1" applyBorder="1" applyAlignment="1">
      <alignment horizontal="center"/>
    </xf>
    <xf numFmtId="0" fontId="12" fillId="4" borderId="26" xfId="0" applyFont="1" applyFill="1" applyBorder="1" applyAlignment="1">
      <alignment horizontal="center"/>
    </xf>
    <xf numFmtId="0" fontId="2" fillId="0" borderId="18" xfId="0" applyFont="1" applyBorder="1" applyAlignment="1">
      <alignment vertical="center"/>
    </xf>
    <xf numFmtId="0" fontId="14" fillId="0" borderId="31" xfId="0" applyFont="1" applyBorder="1" applyAlignment="1">
      <alignment vertical="center" wrapText="1"/>
    </xf>
    <xf numFmtId="0" fontId="14" fillId="0" borderId="32" xfId="0" applyFont="1" applyBorder="1" applyAlignment="1">
      <alignment horizontal="center" vertical="center" wrapText="1"/>
    </xf>
    <xf numFmtId="0" fontId="14" fillId="0" borderId="33" xfId="0" applyFont="1" applyBorder="1" applyAlignment="1">
      <alignment horizontal="center" vertical="center"/>
    </xf>
    <xf numFmtId="0" fontId="14" fillId="0" borderId="34" xfId="0" applyFont="1" applyBorder="1" applyAlignment="1">
      <alignment horizontal="center" vertical="center"/>
    </xf>
    <xf numFmtId="0" fontId="12" fillId="4" borderId="32" xfId="0" applyFont="1" applyFill="1" applyBorder="1" applyAlignment="1">
      <alignment horizontal="center"/>
    </xf>
    <xf numFmtId="0" fontId="12" fillId="4" borderId="33" xfId="0" applyFont="1" applyFill="1" applyBorder="1" applyAlignment="1">
      <alignment horizontal="center"/>
    </xf>
    <xf numFmtId="0" fontId="12" fillId="0" borderId="35" xfId="0" applyFont="1" applyFill="1" applyBorder="1" applyAlignment="1">
      <alignment horizontal="center"/>
    </xf>
    <xf numFmtId="0" fontId="14" fillId="0" borderId="16" xfId="0" applyFont="1" applyBorder="1" applyAlignment="1">
      <alignment vertical="center" wrapText="1"/>
    </xf>
    <xf numFmtId="0" fontId="2" fillId="0" borderId="11" xfId="0" applyFont="1" applyBorder="1" applyAlignment="1">
      <alignment horizontal="center" vertical="center"/>
    </xf>
    <xf numFmtId="0" fontId="2" fillId="0" borderId="31" xfId="0" applyFont="1" applyBorder="1" applyAlignment="1">
      <alignment horizontal="center" vertical="center"/>
    </xf>
    <xf numFmtId="0" fontId="12" fillId="0" borderId="11" xfId="0" applyFont="1" applyFill="1" applyBorder="1" applyAlignment="1">
      <alignment horizontal="center"/>
    </xf>
    <xf numFmtId="0" fontId="12" fillId="0" borderId="36" xfId="0" applyFont="1" applyFill="1" applyBorder="1" applyAlignment="1">
      <alignment horizontal="center"/>
    </xf>
    <xf numFmtId="0" fontId="12" fillId="4" borderId="11" xfId="0" applyFont="1" applyFill="1" applyBorder="1" applyAlignment="1">
      <alignment horizontal="center"/>
    </xf>
    <xf numFmtId="0" fontId="14" fillId="0" borderId="37" xfId="0" applyFont="1" applyBorder="1" applyAlignment="1">
      <alignment vertical="center" wrapText="1"/>
    </xf>
    <xf numFmtId="0" fontId="14" fillId="0" borderId="11" xfId="0" applyFont="1" applyBorder="1" applyAlignment="1">
      <alignment horizontal="center" vertical="center" wrapText="1"/>
    </xf>
    <xf numFmtId="0" fontId="14" fillId="0" borderId="31" xfId="0" applyFont="1" applyBorder="1" applyAlignment="1">
      <alignment horizontal="center" vertical="center"/>
    </xf>
    <xf numFmtId="0" fontId="0" fillId="4" borderId="11" xfId="0" applyFill="1" applyBorder="1" applyAlignment="1">
      <alignment horizontal="center"/>
    </xf>
    <xf numFmtId="0" fontId="0" fillId="0" borderId="21" xfId="0" applyBorder="1"/>
    <xf numFmtId="0" fontId="0" fillId="0" borderId="23" xfId="0" applyBorder="1" applyAlignment="1">
      <alignment horizontal="center"/>
    </xf>
    <xf numFmtId="0" fontId="0" fillId="0" borderId="23" xfId="0" applyBorder="1"/>
    <xf numFmtId="0" fontId="14" fillId="0" borderId="23" xfId="0" applyFont="1" applyFill="1" applyBorder="1" applyAlignment="1">
      <alignment vertical="center" wrapText="1"/>
    </xf>
    <xf numFmtId="0" fontId="14" fillId="0" borderId="31" xfId="0" applyFont="1" applyBorder="1" applyAlignment="1">
      <alignment vertical="center"/>
    </xf>
    <xf numFmtId="0" fontId="14" fillId="0" borderId="11" xfId="0" applyFont="1" applyBorder="1" applyAlignment="1">
      <alignment horizontal="center" vertical="center"/>
    </xf>
    <xf numFmtId="0" fontId="14" fillId="0" borderId="38" xfId="0" applyFont="1" applyBorder="1" applyAlignment="1">
      <alignment vertical="center" wrapText="1"/>
    </xf>
    <xf numFmtId="0" fontId="12" fillId="5" borderId="11" xfId="0" applyFont="1" applyFill="1" applyBorder="1" applyAlignment="1">
      <alignment horizontal="center"/>
    </xf>
    <xf numFmtId="0" fontId="12" fillId="0" borderId="27" xfId="0" applyFont="1" applyFill="1" applyBorder="1" applyAlignment="1">
      <alignment horizontal="center"/>
    </xf>
    <xf numFmtId="0" fontId="12" fillId="0" borderId="39" xfId="0" applyFont="1" applyFill="1" applyBorder="1" applyAlignment="1">
      <alignment horizontal="center"/>
    </xf>
    <xf numFmtId="0" fontId="2" fillId="0" borderId="40" xfId="0" applyFont="1" applyFill="1" applyBorder="1" applyAlignment="1">
      <alignment horizontal="center" vertical="center"/>
    </xf>
    <xf numFmtId="0" fontId="0" fillId="0" borderId="41" xfId="0" applyBorder="1"/>
    <xf numFmtId="0" fontId="0" fillId="0" borderId="42" xfId="0" applyBorder="1"/>
    <xf numFmtId="0" fontId="0" fillId="4" borderId="42" xfId="0" applyFill="1" applyBorder="1" applyAlignment="1">
      <alignment horizontal="center"/>
    </xf>
    <xf numFmtId="0" fontId="0" fillId="0" borderId="27" xfId="0" applyBorder="1"/>
    <xf numFmtId="0" fontId="0" fillId="0" borderId="39" xfId="0" applyBorder="1"/>
    <xf numFmtId="0" fontId="2" fillId="0" borderId="43" xfId="0" applyFont="1" applyFill="1" applyBorder="1" applyAlignment="1">
      <alignment vertical="center"/>
    </xf>
    <xf numFmtId="0" fontId="0" fillId="0" borderId="29" xfId="0" applyBorder="1" applyAlignment="1">
      <alignment horizontal="center"/>
    </xf>
    <xf numFmtId="0" fontId="14" fillId="0" borderId="26" xfId="0" applyFont="1" applyBorder="1" applyAlignment="1">
      <alignment horizontal="center" vertical="center"/>
    </xf>
    <xf numFmtId="0" fontId="12" fillId="2" borderId="25" xfId="0" applyFont="1" applyFill="1" applyBorder="1" applyAlignment="1">
      <alignment horizontal="center"/>
    </xf>
    <xf numFmtId="0" fontId="14" fillId="0" borderId="12" xfId="0" applyFont="1" applyFill="1" applyBorder="1" applyAlignment="1">
      <alignment vertical="center" wrapText="1"/>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12" fillId="0" borderId="44" xfId="0" applyFont="1" applyFill="1" applyBorder="1" applyAlignment="1">
      <alignment horizontal="center"/>
    </xf>
    <xf numFmtId="0" fontId="2" fillId="0" borderId="22" xfId="0" applyFont="1" applyFill="1" applyBorder="1" applyAlignment="1">
      <alignment vertical="center"/>
    </xf>
    <xf numFmtId="0" fontId="2" fillId="0" borderId="25" xfId="0" applyFont="1" applyFill="1" applyBorder="1" applyAlignment="1">
      <alignment horizontal="center" vertical="center"/>
    </xf>
    <xf numFmtId="0" fontId="2" fillId="0" borderId="26" xfId="0" applyFont="1" applyFill="1" applyBorder="1" applyAlignment="1">
      <alignment horizontal="center" vertical="center"/>
    </xf>
    <xf numFmtId="0" fontId="12" fillId="0" borderId="43" xfId="0" applyFont="1" applyFill="1" applyBorder="1" applyAlignment="1">
      <alignment horizontal="center"/>
    </xf>
    <xf numFmtId="0" fontId="12" fillId="0" borderId="45" xfId="0" applyFont="1" applyFill="1" applyBorder="1" applyAlignment="1">
      <alignment horizontal="center"/>
    </xf>
    <xf numFmtId="0" fontId="2" fillId="0" borderId="27" xfId="0" applyFont="1" applyFill="1" applyBorder="1" applyAlignment="1">
      <alignment vertical="center"/>
    </xf>
    <xf numFmtId="0" fontId="14" fillId="0" borderId="46" xfId="0" applyFont="1" applyBorder="1" applyAlignment="1">
      <alignment horizontal="center" vertical="center"/>
    </xf>
    <xf numFmtId="0" fontId="14" fillId="0" borderId="38" xfId="0" applyFont="1" applyBorder="1" applyAlignment="1">
      <alignment horizontal="center" vertical="center"/>
    </xf>
    <xf numFmtId="0" fontId="0" fillId="0" borderId="19" xfId="0" applyBorder="1"/>
    <xf numFmtId="0" fontId="0" fillId="6" borderId="0" xfId="0" applyFill="1" applyBorder="1"/>
    <xf numFmtId="0" fontId="14" fillId="0" borderId="47" xfId="0" applyFont="1" applyBorder="1" applyAlignment="1">
      <alignment horizontal="center" vertical="center"/>
    </xf>
    <xf numFmtId="0" fontId="12" fillId="0" borderId="43" xfId="0" applyFont="1" applyFill="1" applyBorder="1" applyAlignment="1">
      <alignment horizontal="center" textRotation="90"/>
    </xf>
    <xf numFmtId="0" fontId="0" fillId="0" borderId="12" xfId="0" applyBorder="1" applyAlignment="1">
      <alignment horizontal="center" vertical="center"/>
    </xf>
    <xf numFmtId="0" fontId="0" fillId="0" borderId="19" xfId="0" applyBorder="1" applyAlignment="1">
      <alignment horizontal="center" vertical="center"/>
    </xf>
    <xf numFmtId="0" fontId="14" fillId="0" borderId="20" xfId="0" applyFont="1" applyFill="1" applyBorder="1" applyAlignment="1">
      <alignment horizontal="center" vertical="center" wrapText="1"/>
    </xf>
    <xf numFmtId="0" fontId="14" fillId="0" borderId="25" xfId="0" applyFont="1" applyBorder="1" applyAlignment="1">
      <alignment horizontal="center" vertical="center"/>
    </xf>
    <xf numFmtId="0" fontId="14" fillId="0" borderId="24" xfId="0" applyFont="1" applyBorder="1" applyAlignment="1">
      <alignment horizontal="center" vertical="center"/>
    </xf>
    <xf numFmtId="0" fontId="12" fillId="0" borderId="9" xfId="0" applyFont="1" applyFill="1" applyBorder="1" applyAlignment="1">
      <alignment horizontal="center"/>
    </xf>
    <xf numFmtId="0" fontId="14" fillId="0" borderId="13" xfId="0" applyFont="1" applyFill="1" applyBorder="1" applyAlignment="1">
      <alignment horizontal="center" vertical="center"/>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2" fillId="0" borderId="50" xfId="0" applyFont="1" applyBorder="1" applyAlignment="1">
      <alignment horizontal="center" vertical="center"/>
    </xf>
    <xf numFmtId="0" fontId="12" fillId="0" borderId="48" xfId="0" applyFont="1" applyFill="1" applyBorder="1" applyAlignment="1">
      <alignment horizontal="center"/>
    </xf>
    <xf numFmtId="0" fontId="12" fillId="4" borderId="48" xfId="0" applyFont="1" applyFill="1" applyBorder="1" applyAlignment="1">
      <alignment horizontal="center"/>
    </xf>
    <xf numFmtId="0" fontId="12" fillId="4" borderId="49" xfId="0" applyFont="1" applyFill="1" applyBorder="1" applyAlignment="1">
      <alignment horizontal="center"/>
    </xf>
    <xf numFmtId="0" fontId="12" fillId="0" borderId="49" xfId="0" applyFont="1" applyFill="1" applyBorder="1" applyAlignment="1">
      <alignment horizontal="center"/>
    </xf>
    <xf numFmtId="0" fontId="2" fillId="0" borderId="10" xfId="0" applyFont="1" applyBorder="1" applyAlignment="1">
      <alignment vertical="center"/>
    </xf>
    <xf numFmtId="0" fontId="14" fillId="0" borderId="16" xfId="0" applyFont="1" applyFill="1" applyBorder="1" applyAlignment="1">
      <alignment vertical="center" wrapText="1"/>
    </xf>
    <xf numFmtId="0" fontId="0" fillId="6" borderId="21" xfId="0" applyFill="1" applyBorder="1"/>
    <xf numFmtId="0" fontId="0" fillId="0" borderId="0" xfId="0" applyAlignment="1">
      <alignment horizontal="center"/>
    </xf>
    <xf numFmtId="0" fontId="2" fillId="0" borderId="0" xfId="0" applyFont="1"/>
    <xf numFmtId="0" fontId="12" fillId="0" borderId="35" xfId="0" applyFont="1" applyBorder="1" applyAlignment="1">
      <alignment horizontal="center" vertical="top" wrapText="1"/>
    </xf>
    <xf numFmtId="0" fontId="12" fillId="0" borderId="36" xfId="0" applyFont="1" applyBorder="1" applyAlignment="1">
      <alignment horizontal="center" vertical="top" wrapText="1"/>
    </xf>
    <xf numFmtId="0" fontId="12" fillId="0" borderId="0" xfId="0" applyFont="1" applyBorder="1" applyAlignment="1">
      <alignment horizontal="center" vertical="top" wrapText="1"/>
    </xf>
    <xf numFmtId="0" fontId="3" fillId="0" borderId="0" xfId="0" applyFont="1"/>
    <xf numFmtId="0" fontId="0" fillId="0" borderId="0" xfId="0" applyFill="1"/>
    <xf numFmtId="0" fontId="19" fillId="6" borderId="0" xfId="0" applyFont="1" applyFill="1"/>
    <xf numFmtId="0" fontId="22" fillId="7" borderId="0" xfId="0" applyFont="1" applyFill="1"/>
    <xf numFmtId="0" fontId="22" fillId="0" borderId="0" xfId="0" applyFont="1" applyFill="1"/>
    <xf numFmtId="0" fontId="20" fillId="7" borderId="0" xfId="0" applyFont="1" applyFill="1"/>
    <xf numFmtId="0" fontId="20" fillId="7" borderId="0" xfId="0" applyFont="1" applyFill="1" applyAlignment="1">
      <alignment horizontal="center"/>
    </xf>
    <xf numFmtId="2" fontId="20" fillId="7" borderId="0" xfId="0" applyNumberFormat="1" applyFont="1" applyFill="1" applyAlignment="1">
      <alignment horizontal="center"/>
    </xf>
    <xf numFmtId="9" fontId="20" fillId="6" borderId="0" xfId="2" applyFont="1" applyFill="1" applyBorder="1"/>
    <xf numFmtId="0" fontId="20" fillId="6" borderId="0" xfId="0" applyFont="1" applyFill="1" applyBorder="1"/>
    <xf numFmtId="0" fontId="0" fillId="0" borderId="0" xfId="0" applyAlignment="1">
      <alignment textRotation="90"/>
    </xf>
    <xf numFmtId="2" fontId="20" fillId="8" borderId="0" xfId="0" applyNumberFormat="1" applyFont="1" applyFill="1"/>
    <xf numFmtId="0" fontId="22" fillId="8" borderId="0" xfId="0" applyFont="1" applyFill="1"/>
    <xf numFmtId="2" fontId="22" fillId="8" borderId="0" xfId="0" applyNumberFormat="1" applyFont="1" applyFill="1"/>
    <xf numFmtId="0" fontId="20" fillId="8" borderId="0" xfId="0" applyFont="1" applyFill="1"/>
    <xf numFmtId="0" fontId="23" fillId="8" borderId="0" xfId="0" applyFont="1" applyFill="1"/>
    <xf numFmtId="0" fontId="20" fillId="8" borderId="0" xfId="0" applyFont="1" applyFill="1" applyAlignment="1">
      <alignment horizontal="center"/>
    </xf>
    <xf numFmtId="2" fontId="20" fillId="8" borderId="0" xfId="0" applyNumberFormat="1" applyFont="1" applyFill="1" applyAlignment="1">
      <alignment horizontal="center"/>
    </xf>
    <xf numFmtId="2" fontId="23" fillId="8" borderId="0" xfId="0" applyNumberFormat="1" applyFont="1" applyFill="1"/>
    <xf numFmtId="0" fontId="6" fillId="8" borderId="0" xfId="0" applyFont="1" applyFill="1"/>
    <xf numFmtId="2" fontId="6" fillId="8" borderId="0" xfId="0" applyNumberFormat="1" applyFont="1" applyFill="1"/>
    <xf numFmtId="0" fontId="22" fillId="9" borderId="0" xfId="0" applyFont="1" applyFill="1"/>
    <xf numFmtId="0" fontId="20" fillId="9" borderId="0" xfId="0" applyFont="1" applyFill="1"/>
    <xf numFmtId="0" fontId="22" fillId="10" borderId="0" xfId="0" applyFont="1" applyFill="1"/>
    <xf numFmtId="0" fontId="20" fillId="10" borderId="0" xfId="0" applyFont="1" applyFill="1"/>
    <xf numFmtId="0" fontId="20" fillId="11" borderId="0" xfId="0" applyFont="1" applyFill="1"/>
    <xf numFmtId="0" fontId="22" fillId="11" borderId="0" xfId="0" applyFont="1" applyFill="1" applyAlignment="1">
      <alignment horizontal="right"/>
    </xf>
    <xf numFmtId="0" fontId="22" fillId="11" borderId="0" xfId="0" applyFont="1" applyFill="1"/>
    <xf numFmtId="2" fontId="20" fillId="6" borderId="0" xfId="0" applyNumberFormat="1" applyFont="1" applyFill="1"/>
    <xf numFmtId="0" fontId="20" fillId="6" borderId="0" xfId="0" applyFont="1" applyFill="1"/>
    <xf numFmtId="0" fontId="22" fillId="6" borderId="0" xfId="0" applyFont="1" applyFill="1"/>
    <xf numFmtId="0" fontId="23" fillId="6" borderId="0" xfId="0" applyFont="1" applyFill="1"/>
    <xf numFmtId="0" fontId="5" fillId="6" borderId="0" xfId="0" applyFont="1" applyFill="1"/>
    <xf numFmtId="2" fontId="23" fillId="6" borderId="0" xfId="0" applyNumberFormat="1" applyFont="1" applyFill="1"/>
    <xf numFmtId="0" fontId="26" fillId="6" borderId="0" xfId="0" applyFont="1" applyFill="1"/>
    <xf numFmtId="9" fontId="20" fillId="6" borderId="0" xfId="0" applyNumberFormat="1" applyFont="1" applyFill="1" applyBorder="1"/>
    <xf numFmtId="0" fontId="29" fillId="0" borderId="0" xfId="0" applyFont="1" applyFill="1"/>
    <xf numFmtId="0" fontId="29" fillId="8" borderId="0" xfId="0" applyFont="1" applyFill="1"/>
    <xf numFmtId="0" fontId="4" fillId="6" borderId="0" xfId="0" applyFont="1" applyFill="1"/>
    <xf numFmtId="0" fontId="22" fillId="6" borderId="35" xfId="0" applyFont="1" applyFill="1" applyBorder="1" applyAlignment="1">
      <alignment horizontal="center"/>
    </xf>
    <xf numFmtId="0" fontId="14" fillId="0" borderId="0" xfId="0" applyFont="1" applyAlignment="1">
      <alignment vertical="center"/>
    </xf>
    <xf numFmtId="0" fontId="3" fillId="0" borderId="0" xfId="0" applyFont="1" applyFill="1" applyBorder="1"/>
    <xf numFmtId="0" fontId="21" fillId="6" borderId="0" xfId="0" applyFont="1" applyFill="1"/>
    <xf numFmtId="0" fontId="28" fillId="6" borderId="0" xfId="0" applyFont="1" applyFill="1"/>
    <xf numFmtId="0" fontId="27" fillId="6" borderId="0" xfId="0" applyFont="1" applyFill="1" applyAlignment="1">
      <alignment horizontal="center" vertical="center"/>
    </xf>
    <xf numFmtId="0" fontId="20" fillId="6" borderId="0" xfId="0" applyFont="1" applyFill="1" applyAlignment="1">
      <alignment textRotation="90"/>
    </xf>
    <xf numFmtId="180" fontId="20" fillId="6" borderId="0" xfId="0" applyNumberFormat="1" applyFont="1" applyFill="1"/>
    <xf numFmtId="0" fontId="31" fillId="6" borderId="0" xfId="0" applyFont="1" applyFill="1"/>
    <xf numFmtId="0" fontId="30" fillId="6" borderId="0" xfId="0" applyFont="1" applyFill="1" applyAlignment="1"/>
    <xf numFmtId="0" fontId="4" fillId="6" borderId="0" xfId="0" applyFont="1" applyFill="1" applyBorder="1"/>
    <xf numFmtId="0" fontId="20" fillId="6" borderId="0" xfId="0" applyFont="1" applyFill="1" applyAlignment="1">
      <alignment horizontal="center" vertical="center"/>
    </xf>
    <xf numFmtId="0" fontId="30" fillId="6" borderId="0" xfId="0" applyFont="1" applyFill="1"/>
    <xf numFmtId="0" fontId="20" fillId="6" borderId="0" xfId="0" applyFont="1" applyFill="1" applyAlignment="1"/>
    <xf numFmtId="0" fontId="20" fillId="6" borderId="0" xfId="0" applyFont="1" applyFill="1" applyBorder="1" applyAlignment="1"/>
    <xf numFmtId="2" fontId="20" fillId="6" borderId="0" xfId="0" applyNumberFormat="1" applyFont="1" applyFill="1" applyAlignment="1">
      <alignment horizontal="center"/>
    </xf>
    <xf numFmtId="0" fontId="20" fillId="6" borderId="35" xfId="0" applyFont="1" applyFill="1" applyBorder="1"/>
    <xf numFmtId="0" fontId="20" fillId="6" borderId="35" xfId="0" applyFont="1" applyFill="1" applyBorder="1" applyAlignment="1">
      <alignment wrapText="1"/>
    </xf>
    <xf numFmtId="0" fontId="20" fillId="6" borderId="35" xfId="0" applyFont="1" applyFill="1" applyBorder="1" applyAlignment="1">
      <alignment textRotation="90"/>
    </xf>
    <xf numFmtId="2" fontId="22" fillId="6" borderId="0" xfId="0" applyNumberFormat="1" applyFont="1" applyFill="1" applyBorder="1"/>
    <xf numFmtId="180" fontId="4" fillId="6" borderId="0" xfId="0" applyNumberFormat="1" applyFont="1" applyFill="1"/>
    <xf numFmtId="0" fontId="20" fillId="6" borderId="0" xfId="0" applyFont="1" applyFill="1" applyAlignment="1">
      <alignment horizontal="center"/>
    </xf>
    <xf numFmtId="0" fontId="29" fillId="6" borderId="0" xfId="0" applyFont="1" applyFill="1"/>
    <xf numFmtId="0" fontId="20" fillId="7" borderId="0" xfId="0" applyFont="1" applyFill="1" applyAlignment="1">
      <alignment horizontal="left"/>
    </xf>
    <xf numFmtId="0" fontId="22" fillId="7" borderId="35" xfId="0" applyFont="1" applyFill="1" applyBorder="1" applyAlignment="1">
      <alignment horizontal="center"/>
    </xf>
    <xf numFmtId="2" fontId="22" fillId="7" borderId="35" xfId="0" applyNumberFormat="1" applyFont="1" applyFill="1" applyBorder="1" applyAlignment="1">
      <alignment horizontal="center"/>
    </xf>
    <xf numFmtId="0" fontId="22" fillId="7" borderId="35" xfId="0" applyFont="1" applyFill="1" applyBorder="1" applyAlignment="1">
      <alignment horizontal="left"/>
    </xf>
    <xf numFmtId="0" fontId="20" fillId="8" borderId="35" xfId="0" applyFont="1" applyFill="1" applyBorder="1"/>
    <xf numFmtId="0" fontId="6" fillId="8" borderId="35" xfId="0" applyFont="1" applyFill="1" applyBorder="1"/>
    <xf numFmtId="0" fontId="7" fillId="6" borderId="0" xfId="0" applyFont="1" applyFill="1"/>
    <xf numFmtId="180" fontId="20" fillId="6" borderId="0" xfId="0" applyNumberFormat="1" applyFont="1" applyFill="1" applyAlignment="1">
      <alignment horizontal="center"/>
    </xf>
    <xf numFmtId="0" fontId="20" fillId="6" borderId="0" xfId="0" applyFont="1" applyFill="1" applyAlignment="1">
      <alignment horizontal="right"/>
    </xf>
    <xf numFmtId="0" fontId="22" fillId="6" borderId="35" xfId="0" applyFont="1" applyFill="1" applyBorder="1"/>
    <xf numFmtId="0" fontId="22" fillId="11" borderId="35" xfId="0" applyFont="1" applyFill="1" applyBorder="1" applyAlignment="1">
      <alignment horizontal="center"/>
    </xf>
    <xf numFmtId="0" fontId="22" fillId="11" borderId="35" xfId="0" applyFont="1" applyFill="1" applyBorder="1"/>
    <xf numFmtId="0" fontId="22" fillId="11" borderId="35" xfId="0" applyFont="1" applyFill="1" applyBorder="1" applyAlignment="1">
      <alignment horizontal="right"/>
    </xf>
    <xf numFmtId="0" fontId="34" fillId="7" borderId="0" xfId="0" applyFont="1" applyFill="1"/>
    <xf numFmtId="0" fontId="34" fillId="9" borderId="0" xfId="0" applyFont="1" applyFill="1"/>
    <xf numFmtId="0" fontId="34" fillId="10" borderId="0" xfId="0" applyFont="1" applyFill="1"/>
    <xf numFmtId="1" fontId="20" fillId="8" borderId="0" xfId="0" applyNumberFormat="1" applyFont="1" applyFill="1" applyAlignment="1">
      <alignment horizontal="center"/>
    </xf>
    <xf numFmtId="9" fontId="20" fillId="6" borderId="35" xfId="2" applyFont="1" applyFill="1" applyBorder="1" applyAlignment="1">
      <alignment horizontal="right"/>
    </xf>
    <xf numFmtId="9" fontId="20" fillId="6" borderId="0" xfId="2" applyFont="1" applyFill="1" applyBorder="1" applyAlignment="1">
      <alignment horizontal="right"/>
    </xf>
    <xf numFmtId="9" fontId="22" fillId="6" borderId="0" xfId="2" applyFont="1" applyFill="1" applyAlignment="1">
      <alignment horizontal="right"/>
    </xf>
    <xf numFmtId="9" fontId="22" fillId="6" borderId="35" xfId="2" applyFont="1" applyFill="1" applyBorder="1" applyAlignment="1">
      <alignment horizontal="right"/>
    </xf>
    <xf numFmtId="9" fontId="20" fillId="6" borderId="35" xfId="0" applyNumberFormat="1" applyFont="1" applyFill="1" applyBorder="1" applyAlignment="1">
      <alignment horizontal="right"/>
    </xf>
    <xf numFmtId="0" fontId="35" fillId="6" borderId="0" xfId="0" applyFont="1" applyFill="1"/>
    <xf numFmtId="0" fontId="20" fillId="8" borderId="35" xfId="0" applyFont="1" applyFill="1" applyBorder="1" applyAlignment="1">
      <alignment horizontal="center"/>
    </xf>
    <xf numFmtId="2" fontId="22" fillId="8" borderId="0" xfId="0" applyNumberFormat="1" applyFont="1" applyFill="1" applyAlignment="1">
      <alignment horizontal="center"/>
    </xf>
    <xf numFmtId="0" fontId="22" fillId="8" borderId="35" xfId="0" applyFont="1" applyFill="1" applyBorder="1" applyAlignment="1">
      <alignment horizontal="left"/>
    </xf>
    <xf numFmtId="180" fontId="20" fillId="8" borderId="0" xfId="0" applyNumberFormat="1" applyFont="1" applyFill="1" applyAlignment="1">
      <alignment horizontal="center"/>
    </xf>
    <xf numFmtId="0" fontId="20" fillId="6" borderId="21" xfId="0" applyFont="1" applyFill="1" applyBorder="1" applyAlignment="1" applyProtection="1">
      <alignment horizontal="right"/>
      <protection locked="0"/>
    </xf>
    <xf numFmtId="0" fontId="20" fillId="12" borderId="0" xfId="0" applyFont="1" applyFill="1"/>
    <xf numFmtId="0" fontId="20" fillId="12" borderId="0" xfId="0" applyFont="1" applyFill="1" applyProtection="1">
      <protection locked="0"/>
    </xf>
    <xf numFmtId="0" fontId="23" fillId="12" borderId="0" xfId="0" applyFont="1" applyFill="1" applyBorder="1"/>
    <xf numFmtId="0" fontId="22" fillId="12" borderId="0" xfId="0" applyFont="1" applyFill="1"/>
    <xf numFmtId="0" fontId="22" fillId="12" borderId="35" xfId="0" applyFont="1" applyFill="1" applyBorder="1" applyAlignment="1">
      <alignment horizontal="center"/>
    </xf>
    <xf numFmtId="0" fontId="22" fillId="12" borderId="35" xfId="0" applyFont="1" applyFill="1" applyBorder="1" applyAlignment="1"/>
    <xf numFmtId="0" fontId="20" fillId="12" borderId="0" xfId="0" applyFont="1" applyFill="1" applyAlignment="1">
      <alignment horizontal="center"/>
    </xf>
    <xf numFmtId="2" fontId="20" fillId="12" borderId="0" xfId="0" applyNumberFormat="1" applyFont="1" applyFill="1" applyAlignment="1">
      <alignment horizontal="center"/>
    </xf>
    <xf numFmtId="0" fontId="36" fillId="12" borderId="0" xfId="0" applyFont="1" applyFill="1"/>
    <xf numFmtId="0" fontId="36" fillId="12" borderId="35" xfId="0" applyFont="1" applyFill="1" applyBorder="1" applyAlignment="1"/>
    <xf numFmtId="2" fontId="36" fillId="12" borderId="0" xfId="0" applyNumberFormat="1" applyFont="1" applyFill="1"/>
    <xf numFmtId="0" fontId="36" fillId="6" borderId="0" xfId="0" applyFont="1" applyFill="1"/>
    <xf numFmtId="0" fontId="25" fillId="8" borderId="0" xfId="0" applyFont="1" applyFill="1" applyAlignment="1">
      <alignment horizontal="right"/>
    </xf>
    <xf numFmtId="0" fontId="20" fillId="8" borderId="0" xfId="0" applyFont="1" applyFill="1" applyBorder="1" applyAlignment="1">
      <alignment horizontal="left"/>
    </xf>
    <xf numFmtId="0" fontId="20" fillId="8" borderId="0" xfId="0" applyFont="1" applyFill="1" applyBorder="1" applyAlignment="1">
      <alignment horizontal="right"/>
    </xf>
    <xf numFmtId="0" fontId="37" fillId="6" borderId="0" xfId="0" applyFont="1" applyFill="1"/>
    <xf numFmtId="0" fontId="38" fillId="6" borderId="0" xfId="0" applyFont="1" applyFill="1"/>
    <xf numFmtId="0" fontId="40" fillId="6" borderId="0" xfId="0" applyFont="1" applyFill="1" applyAlignment="1">
      <alignment horizontal="center" vertical="top"/>
    </xf>
    <xf numFmtId="0" fontId="39" fillId="6" borderId="0" xfId="0" applyFont="1" applyFill="1" applyAlignment="1">
      <alignment wrapText="1"/>
    </xf>
    <xf numFmtId="0" fontId="40" fillId="6" borderId="0" xfId="0" applyFont="1" applyFill="1" applyAlignment="1">
      <alignment wrapText="1"/>
    </xf>
    <xf numFmtId="0" fontId="40" fillId="6" borderId="0" xfId="0" applyFont="1" applyFill="1"/>
    <xf numFmtId="0" fontId="42" fillId="7" borderId="0" xfId="0" applyFont="1" applyFill="1" applyAlignment="1">
      <alignment wrapText="1"/>
    </xf>
    <xf numFmtId="0" fontId="42" fillId="9" borderId="0" xfId="0" applyFont="1" applyFill="1" applyAlignment="1">
      <alignment wrapText="1"/>
    </xf>
    <xf numFmtId="0" fontId="42" fillId="10" borderId="0" xfId="0" applyFont="1" applyFill="1" applyAlignment="1">
      <alignment wrapText="1"/>
    </xf>
    <xf numFmtId="0" fontId="42" fillId="6" borderId="0" xfId="0" applyFont="1" applyFill="1" applyAlignment="1">
      <alignment wrapText="1"/>
    </xf>
    <xf numFmtId="0" fontId="41" fillId="6" borderId="0" xfId="0" applyFont="1" applyFill="1" applyAlignment="1">
      <alignment wrapText="1"/>
    </xf>
    <xf numFmtId="0" fontId="20" fillId="6" borderId="35" xfId="0" applyFont="1" applyFill="1" applyBorder="1" applyAlignment="1">
      <alignment textRotation="90" wrapText="1"/>
    </xf>
    <xf numFmtId="0" fontId="5" fillId="6" borderId="0" xfId="0" applyFont="1" applyFill="1" applyProtection="1">
      <protection locked="0"/>
    </xf>
    <xf numFmtId="0" fontId="4" fillId="6" borderId="0" xfId="0" quotePrefix="1" applyFont="1" applyFill="1"/>
    <xf numFmtId="180" fontId="30" fillId="6" borderId="0" xfId="0" applyNumberFormat="1" applyFont="1" applyFill="1"/>
    <xf numFmtId="1" fontId="43" fillId="8" borderId="0" xfId="0" applyNumberFormat="1" applyFont="1" applyFill="1"/>
    <xf numFmtId="0" fontId="20" fillId="6" borderId="38" xfId="0" applyFont="1" applyFill="1" applyBorder="1"/>
    <xf numFmtId="0" fontId="20" fillId="6" borderId="39" xfId="0" applyFont="1" applyFill="1" applyBorder="1"/>
    <xf numFmtId="0" fontId="20" fillId="6" borderId="25" xfId="0" applyFont="1" applyFill="1" applyBorder="1"/>
    <xf numFmtId="0" fontId="20" fillId="6" borderId="51" xfId="0" applyFont="1" applyFill="1" applyBorder="1"/>
    <xf numFmtId="0" fontId="20" fillId="6" borderId="48" xfId="0" applyFont="1" applyFill="1" applyBorder="1"/>
    <xf numFmtId="0" fontId="20" fillId="6" borderId="37" xfId="0" applyFont="1" applyFill="1" applyBorder="1"/>
    <xf numFmtId="0" fontId="20" fillId="6" borderId="13" xfId="0" applyFont="1" applyFill="1" applyBorder="1"/>
    <xf numFmtId="2" fontId="20" fillId="6" borderId="0" xfId="0" applyNumberFormat="1" applyFont="1" applyFill="1" applyBorder="1" applyAlignment="1">
      <alignment horizontal="center"/>
    </xf>
    <xf numFmtId="0" fontId="20" fillId="11" borderId="0" xfId="0" applyFont="1" applyFill="1" applyBorder="1"/>
    <xf numFmtId="9" fontId="20" fillId="11" borderId="0" xfId="2" applyFont="1" applyFill="1" applyBorder="1" applyAlignment="1">
      <alignment horizontal="center"/>
    </xf>
    <xf numFmtId="1" fontId="20" fillId="11" borderId="0" xfId="0" applyNumberFormat="1" applyFont="1" applyFill="1" applyBorder="1" applyAlignment="1">
      <alignment horizontal="right"/>
    </xf>
    <xf numFmtId="0" fontId="22" fillId="11" borderId="0" xfId="0" applyFont="1" applyFill="1" applyBorder="1"/>
    <xf numFmtId="0" fontId="20" fillId="11" borderId="0" xfId="0" applyFont="1" applyFill="1" applyBorder="1" applyAlignment="1">
      <alignment horizontal="center"/>
    </xf>
    <xf numFmtId="180" fontId="30" fillId="11" borderId="0" xfId="0" applyNumberFormat="1" applyFont="1" applyFill="1" applyBorder="1"/>
    <xf numFmtId="0" fontId="20" fillId="11" borderId="0" xfId="0" applyFont="1" applyFill="1" applyBorder="1" applyAlignment="1">
      <alignment horizontal="right"/>
    </xf>
    <xf numFmtId="0" fontId="44" fillId="6" borderId="0" xfId="0" applyFont="1" applyFill="1"/>
    <xf numFmtId="0" fontId="28" fillId="6" borderId="35" xfId="0" applyFont="1" applyFill="1" applyBorder="1"/>
    <xf numFmtId="2" fontId="28" fillId="6" borderId="0" xfId="0" applyNumberFormat="1" applyFont="1" applyFill="1"/>
    <xf numFmtId="0" fontId="4" fillId="6" borderId="35" xfId="0" applyFont="1" applyFill="1" applyBorder="1" applyAlignment="1" applyProtection="1">
      <alignment textRotation="90"/>
      <protection locked="0"/>
    </xf>
    <xf numFmtId="0" fontId="4" fillId="6" borderId="0" xfId="0" applyFont="1" applyFill="1" applyProtection="1">
      <protection locked="0"/>
    </xf>
    <xf numFmtId="0" fontId="36" fillId="12" borderId="0" xfId="0" applyFont="1" applyFill="1" applyBorder="1" applyProtection="1">
      <protection locked="0"/>
    </xf>
    <xf numFmtId="0" fontId="4" fillId="6" borderId="0" xfId="0" applyFont="1" applyFill="1" applyBorder="1" applyProtection="1">
      <protection locked="0"/>
    </xf>
    <xf numFmtId="2" fontId="20" fillId="11" borderId="0" xfId="0" applyNumberFormat="1" applyFont="1" applyFill="1" applyAlignment="1">
      <alignment horizontal="center"/>
    </xf>
    <xf numFmtId="0" fontId="20" fillId="11" borderId="0" xfId="0" applyFont="1" applyFill="1" applyAlignment="1">
      <alignment horizontal="center"/>
    </xf>
    <xf numFmtId="180" fontId="28" fillId="6" borderId="0" xfId="0" applyNumberFormat="1" applyFont="1" applyFill="1"/>
    <xf numFmtId="0" fontId="20" fillId="0" borderId="0" xfId="0" applyFont="1" applyFill="1" applyAlignment="1">
      <alignment horizontal="right"/>
    </xf>
    <xf numFmtId="0" fontId="20" fillId="0" borderId="0" xfId="0" applyFont="1" applyFill="1"/>
    <xf numFmtId="0" fontId="12" fillId="0" borderId="21" xfId="0" applyFont="1" applyBorder="1" applyAlignment="1">
      <alignment horizontal="center" vertical="top" wrapText="1"/>
    </xf>
    <xf numFmtId="0" fontId="12" fillId="0" borderId="52" xfId="0" applyFont="1" applyFill="1" applyBorder="1" applyAlignment="1">
      <alignment horizontal="center"/>
    </xf>
    <xf numFmtId="0" fontId="12" fillId="0" borderId="53" xfId="0" applyFont="1" applyFill="1" applyBorder="1" applyAlignment="1">
      <alignment horizontal="center"/>
    </xf>
    <xf numFmtId="0" fontId="0" fillId="0" borderId="30" xfId="0" applyBorder="1"/>
    <xf numFmtId="0" fontId="12" fillId="0" borderId="45" xfId="0" applyFont="1" applyFill="1" applyBorder="1" applyAlignment="1">
      <alignment horizontal="center" textRotation="90"/>
    </xf>
    <xf numFmtId="0" fontId="12" fillId="0" borderId="21" xfId="0" applyFont="1" applyFill="1" applyBorder="1" applyAlignment="1">
      <alignment horizontal="center" vertical="center" wrapText="1"/>
    </xf>
    <xf numFmtId="0" fontId="45" fillId="0" borderId="14" xfId="0" applyFont="1" applyFill="1" applyBorder="1" applyAlignment="1">
      <alignment horizontal="center"/>
    </xf>
    <xf numFmtId="0" fontId="14" fillId="0" borderId="21" xfId="0" applyFont="1" applyFill="1" applyBorder="1" applyAlignment="1">
      <alignment vertical="center" wrapText="1"/>
    </xf>
    <xf numFmtId="0" fontId="14" fillId="0" borderId="21" xfId="0" applyFont="1" applyBorder="1" applyAlignment="1">
      <alignment horizontal="center" vertical="center" wrapText="1"/>
    </xf>
    <xf numFmtId="0" fontId="0" fillId="0" borderId="36" xfId="0" applyFill="1" applyBorder="1"/>
    <xf numFmtId="0" fontId="0" fillId="0" borderId="21" xfId="0" applyFill="1" applyBorder="1"/>
    <xf numFmtId="180" fontId="0" fillId="0" borderId="21" xfId="0" applyNumberFormat="1" applyFill="1" applyBorder="1" applyAlignment="1">
      <alignment horizontal="center"/>
    </xf>
    <xf numFmtId="0" fontId="14" fillId="0" borderId="21" xfId="0" applyFont="1" applyBorder="1" applyAlignment="1">
      <alignment vertical="center"/>
    </xf>
    <xf numFmtId="0" fontId="14" fillId="0" borderId="21" xfId="0" applyFont="1" applyFill="1" applyBorder="1" applyAlignment="1">
      <alignment vertical="center"/>
    </xf>
    <xf numFmtId="0" fontId="12" fillId="0" borderId="21" xfId="0" applyFont="1" applyBorder="1" applyAlignment="1">
      <alignment vertical="center"/>
    </xf>
    <xf numFmtId="0" fontId="0" fillId="0" borderId="0" xfId="0" applyFill="1" applyBorder="1" applyAlignment="1">
      <alignment textRotation="90"/>
    </xf>
    <xf numFmtId="0" fontId="0" fillId="0" borderId="0" xfId="0" applyFill="1" applyAlignment="1">
      <alignment horizontal="center"/>
    </xf>
    <xf numFmtId="0" fontId="20" fillId="6" borderId="0" xfId="0" applyFont="1" applyFill="1" applyBorder="1" applyAlignment="1">
      <alignment textRotation="90"/>
    </xf>
    <xf numFmtId="180" fontId="20" fillId="6" borderId="0" xfId="0" applyNumberFormat="1" applyFont="1" applyFill="1" applyBorder="1"/>
    <xf numFmtId="0" fontId="0" fillId="0" borderId="0" xfId="0" applyFill="1" applyAlignment="1">
      <alignment textRotation="90"/>
    </xf>
    <xf numFmtId="0" fontId="4" fillId="6" borderId="0" xfId="0" applyFont="1" applyFill="1" applyAlignment="1"/>
    <xf numFmtId="0" fontId="22" fillId="6" borderId="35" xfId="0" applyFont="1" applyFill="1" applyBorder="1" applyProtection="1">
      <protection locked="0"/>
    </xf>
    <xf numFmtId="180" fontId="4" fillId="6" borderId="0" xfId="0" applyNumberFormat="1" applyFont="1" applyFill="1" applyProtection="1">
      <protection locked="0"/>
    </xf>
    <xf numFmtId="0" fontId="20" fillId="6" borderId="39" xfId="0" applyFont="1" applyFill="1" applyBorder="1" applyProtection="1">
      <protection locked="0"/>
    </xf>
    <xf numFmtId="0" fontId="20" fillId="6" borderId="0" xfId="0" applyFont="1" applyFill="1" applyBorder="1" applyProtection="1">
      <protection locked="0"/>
    </xf>
    <xf numFmtId="0" fontId="20" fillId="6" borderId="35" xfId="0" applyFont="1" applyFill="1" applyBorder="1" applyProtection="1">
      <protection locked="0"/>
    </xf>
    <xf numFmtId="0" fontId="20" fillId="6" borderId="14" xfId="0" applyFont="1" applyFill="1" applyBorder="1" applyProtection="1">
      <protection locked="0"/>
    </xf>
    <xf numFmtId="0" fontId="20" fillId="6" borderId="21" xfId="0" applyFont="1" applyFill="1" applyBorder="1" applyProtection="1">
      <protection locked="0"/>
    </xf>
    <xf numFmtId="0" fontId="12" fillId="7" borderId="14" xfId="0" applyFont="1" applyFill="1" applyBorder="1" applyAlignment="1">
      <alignment horizontal="center"/>
    </xf>
    <xf numFmtId="0" fontId="12" fillId="7" borderId="49" xfId="0" applyFont="1" applyFill="1" applyBorder="1" applyAlignment="1">
      <alignment horizontal="center"/>
    </xf>
    <xf numFmtId="0" fontId="41" fillId="6" borderId="0" xfId="0" quotePrefix="1" applyFont="1" applyFill="1" applyAlignment="1">
      <alignment wrapText="1"/>
    </xf>
    <xf numFmtId="0" fontId="22" fillId="6" borderId="0" xfId="0" applyFont="1" applyFill="1" applyBorder="1"/>
    <xf numFmtId="0" fontId="32" fillId="6" borderId="0" xfId="0" applyFont="1" applyFill="1"/>
    <xf numFmtId="0" fontId="33" fillId="6" borderId="0" xfId="0" applyFont="1" applyFill="1"/>
    <xf numFmtId="0" fontId="12" fillId="0" borderId="26" xfId="0" applyFont="1" applyFill="1" applyBorder="1" applyAlignment="1">
      <alignment horizontal="center" vertical="center" wrapText="1"/>
    </xf>
    <xf numFmtId="0" fontId="0" fillId="0" borderId="21" xfId="0" applyBorder="1" applyAlignment="1">
      <alignment horizontal="center"/>
    </xf>
    <xf numFmtId="0" fontId="12" fillId="0" borderId="21" xfId="0" applyFont="1" applyFill="1" applyBorder="1" applyAlignment="1">
      <alignment horizontal="left"/>
    </xf>
    <xf numFmtId="0" fontId="14" fillId="0" borderId="21" xfId="0" applyFont="1" applyBorder="1" applyAlignment="1">
      <alignment horizontal="center"/>
    </xf>
    <xf numFmtId="0" fontId="2" fillId="0" borderId="21" xfId="0" applyFont="1" applyFill="1" applyBorder="1" applyAlignment="1">
      <alignment vertical="center"/>
    </xf>
    <xf numFmtId="0" fontId="12" fillId="0" borderId="20" xfId="0" applyFont="1" applyBorder="1" applyAlignment="1">
      <alignment horizontal="center" vertical="top" wrapText="1"/>
    </xf>
    <xf numFmtId="1" fontId="0" fillId="0" borderId="21" xfId="0" applyNumberFormat="1" applyFill="1" applyBorder="1"/>
    <xf numFmtId="0" fontId="12" fillId="5" borderId="14" xfId="0" applyFont="1" applyFill="1" applyBorder="1" applyAlignment="1">
      <alignment horizontal="center"/>
    </xf>
    <xf numFmtId="0" fontId="7" fillId="6" borderId="0" xfId="0" applyFont="1" applyFill="1" applyProtection="1">
      <protection locked="0"/>
    </xf>
    <xf numFmtId="0" fontId="14" fillId="0" borderId="21" xfId="0" applyFont="1" applyFill="1" applyBorder="1"/>
    <xf numFmtId="0" fontId="12" fillId="0" borderId="21" xfId="0" applyFont="1" applyBorder="1" applyAlignment="1">
      <alignment horizontal="center"/>
    </xf>
    <xf numFmtId="0" fontId="14" fillId="0" borderId="21" xfId="0" applyFont="1" applyBorder="1"/>
    <xf numFmtId="0" fontId="12" fillId="0" borderId="21" xfId="0" applyFont="1" applyBorder="1" applyAlignment="1">
      <alignment horizontal="right"/>
    </xf>
    <xf numFmtId="0" fontId="0" fillId="2" borderId="5" xfId="0" applyFill="1" applyBorder="1" applyAlignment="1">
      <alignment horizontal="center"/>
    </xf>
    <xf numFmtId="0" fontId="0" fillId="2" borderId="6" xfId="0" applyFill="1" applyBorder="1" applyAlignment="1">
      <alignment horizontal="center"/>
    </xf>
    <xf numFmtId="0" fontId="12" fillId="2" borderId="3" xfId="0" applyFont="1" applyFill="1" applyBorder="1" applyAlignment="1">
      <alignment horizontal="center" vertical="top" textRotation="90" wrapText="1"/>
    </xf>
    <xf numFmtId="0" fontId="18" fillId="0" borderId="0" xfId="0" applyFont="1" applyFill="1" applyBorder="1" applyAlignment="1">
      <alignment horizontal="center"/>
    </xf>
    <xf numFmtId="0" fontId="18" fillId="0" borderId="0" xfId="0" applyFont="1" applyBorder="1" applyAlignment="1">
      <alignment horizontal="center"/>
    </xf>
    <xf numFmtId="0" fontId="12" fillId="0" borderId="21" xfId="0" applyFont="1" applyBorder="1"/>
    <xf numFmtId="0" fontId="12" fillId="0" borderId="0" xfId="0" applyFont="1" applyFill="1" applyBorder="1"/>
    <xf numFmtId="0" fontId="12" fillId="0" borderId="21" xfId="0" applyFont="1" applyFill="1" applyBorder="1"/>
    <xf numFmtId="180" fontId="12" fillId="0" borderId="21" xfId="0" applyNumberFormat="1" applyFont="1" applyFill="1" applyBorder="1" applyAlignment="1">
      <alignment horizontal="center"/>
    </xf>
    <xf numFmtId="0" fontId="12" fillId="0" borderId="0" xfId="0" applyFont="1"/>
    <xf numFmtId="0" fontId="14" fillId="0" borderId="19" xfId="0" applyFont="1" applyFill="1" applyBorder="1" applyAlignment="1">
      <alignment vertical="center"/>
    </xf>
    <xf numFmtId="0" fontId="14" fillId="0" borderId="21" xfId="0" applyFont="1" applyFill="1" applyBorder="1" applyAlignment="1">
      <alignment horizontal="center"/>
    </xf>
    <xf numFmtId="188" fontId="0" fillId="0" borderId="21" xfId="1" applyNumberFormat="1" applyFont="1" applyFill="1" applyBorder="1"/>
    <xf numFmtId="188" fontId="0" fillId="0" borderId="21" xfId="0" applyNumberFormat="1" applyFill="1" applyBorder="1"/>
    <xf numFmtId="0" fontId="2" fillId="0" borderId="11" xfId="0" applyFont="1" applyFill="1" applyBorder="1" applyAlignment="1">
      <alignment horizontal="center" vertical="center"/>
    </xf>
    <xf numFmtId="0" fontId="2" fillId="0" borderId="21" xfId="0" applyFont="1" applyBorder="1" applyAlignment="1">
      <alignment horizontal="center"/>
    </xf>
    <xf numFmtId="0" fontId="12" fillId="0" borderId="21" xfId="0" applyFont="1" applyFill="1" applyBorder="1" applyAlignment="1">
      <alignment horizontal="center" vertical="top" wrapText="1"/>
    </xf>
    <xf numFmtId="0" fontId="2" fillId="0" borderId="21" xfId="0" applyFont="1" applyFill="1" applyBorder="1"/>
    <xf numFmtId="0" fontId="46" fillId="0" borderId="21" xfId="0" applyFont="1" applyFill="1" applyBorder="1" applyAlignment="1">
      <alignment horizontal="center"/>
    </xf>
    <xf numFmtId="0" fontId="15" fillId="0" borderId="21" xfId="0" applyFont="1" applyFill="1" applyBorder="1" applyAlignment="1">
      <alignment horizontal="center"/>
    </xf>
    <xf numFmtId="0" fontId="12" fillId="0" borderId="21" xfId="0" applyFont="1" applyFill="1" applyBorder="1" applyAlignment="1">
      <alignment wrapText="1"/>
    </xf>
    <xf numFmtId="1" fontId="12" fillId="0" borderId="21" xfId="0" applyNumberFormat="1" applyFont="1" applyFill="1" applyBorder="1" applyAlignment="1">
      <alignment horizontal="center"/>
    </xf>
    <xf numFmtId="0" fontId="12" fillId="0" borderId="31" xfId="0" applyFont="1" applyFill="1" applyBorder="1" applyAlignment="1">
      <alignment horizontal="center" vertical="top" wrapText="1"/>
    </xf>
    <xf numFmtId="0" fontId="2" fillId="0" borderId="26" xfId="0" applyFont="1" applyFill="1" applyBorder="1" applyAlignment="1">
      <alignment vertical="center"/>
    </xf>
    <xf numFmtId="0" fontId="0" fillId="0" borderId="26" xfId="0" applyFill="1" applyBorder="1"/>
    <xf numFmtId="0" fontId="12" fillId="0" borderId="26" xfId="0" applyFont="1" applyFill="1" applyBorder="1"/>
    <xf numFmtId="0" fontId="46" fillId="0" borderId="26" xfId="0" applyFont="1" applyFill="1" applyBorder="1" applyAlignment="1">
      <alignment horizontal="center"/>
    </xf>
    <xf numFmtId="0" fontId="14" fillId="0" borderId="21" xfId="0" applyFont="1" applyFill="1" applyBorder="1" applyAlignment="1">
      <alignment horizontal="center" vertical="center"/>
    </xf>
    <xf numFmtId="0" fontId="2" fillId="0" borderId="21" xfId="0" quotePrefix="1" applyFont="1" applyFill="1" applyBorder="1" applyAlignment="1">
      <alignment vertical="center"/>
    </xf>
    <xf numFmtId="0" fontId="2" fillId="0" borderId="21" xfId="0" applyFont="1" applyFill="1" applyBorder="1" applyAlignment="1">
      <alignment horizontal="left"/>
    </xf>
    <xf numFmtId="0" fontId="2" fillId="0" borderId="26" xfId="0" applyFont="1" applyFill="1" applyBorder="1" applyAlignment="1">
      <alignment horizontal="left"/>
    </xf>
    <xf numFmtId="0" fontId="49" fillId="0" borderId="21" xfId="0" applyFont="1" applyFill="1" applyBorder="1" applyAlignment="1">
      <alignment horizontal="center" vertical="center"/>
    </xf>
    <xf numFmtId="0" fontId="49" fillId="0" borderId="21" xfId="0" applyFont="1" applyFill="1" applyBorder="1" applyAlignment="1">
      <alignment horizontal="center"/>
    </xf>
    <xf numFmtId="0" fontId="50" fillId="0" borderId="21" xfId="0" applyFont="1" applyFill="1" applyBorder="1" applyAlignment="1">
      <alignment vertical="center" wrapText="1"/>
    </xf>
    <xf numFmtId="0" fontId="2" fillId="0" borderId="21" xfId="0" applyFont="1" applyBorder="1"/>
    <xf numFmtId="0" fontId="12" fillId="0" borderId="25" xfId="0" applyFont="1" applyFill="1" applyBorder="1" applyAlignment="1">
      <alignment horizontal="center" vertical="top" wrapText="1"/>
    </xf>
    <xf numFmtId="0" fontId="14" fillId="0" borderId="26" xfId="0" applyFont="1" applyFill="1" applyBorder="1" applyAlignment="1">
      <alignment vertical="center" wrapText="1"/>
    </xf>
    <xf numFmtId="0" fontId="14" fillId="0" borderId="26" xfId="0" applyFont="1" applyFill="1" applyBorder="1" applyAlignment="1">
      <alignment horizontal="center" vertical="center" wrapText="1"/>
    </xf>
    <xf numFmtId="0" fontId="50" fillId="0" borderId="21" xfId="0" quotePrefix="1" applyFont="1" applyFill="1" applyBorder="1"/>
    <xf numFmtId="0" fontId="50" fillId="0" borderId="21" xfId="0" applyFont="1" applyFill="1" applyBorder="1"/>
    <xf numFmtId="0" fontId="51" fillId="11" borderId="0" xfId="0" applyFont="1" applyFill="1"/>
    <xf numFmtId="0" fontId="52" fillId="6" borderId="0" xfId="0" applyFont="1" applyFill="1"/>
    <xf numFmtId="0" fontId="51" fillId="6" borderId="0" xfId="0" applyFont="1" applyFill="1"/>
    <xf numFmtId="174" fontId="51" fillId="6" borderId="0" xfId="0" applyNumberFormat="1" applyFont="1" applyFill="1"/>
    <xf numFmtId="0" fontId="52" fillId="10" borderId="0" xfId="0" applyFont="1" applyFill="1"/>
    <xf numFmtId="0" fontId="51" fillId="6" borderId="0" xfId="0" applyFont="1" applyFill="1" applyAlignment="1"/>
    <xf numFmtId="0" fontId="20" fillId="13" borderId="0" xfId="0" applyFont="1" applyFill="1"/>
    <xf numFmtId="0" fontId="20" fillId="13" borderId="0" xfId="0" applyFont="1" applyFill="1" applyBorder="1"/>
    <xf numFmtId="0" fontId="53" fillId="6" borderId="0" xfId="0" applyFont="1" applyFill="1"/>
    <xf numFmtId="2" fontId="53" fillId="6" borderId="0" xfId="0" applyNumberFormat="1" applyFont="1" applyFill="1" applyAlignment="1">
      <alignment horizontal="center"/>
    </xf>
    <xf numFmtId="180" fontId="53" fillId="6" borderId="0" xfId="0" applyNumberFormat="1" applyFont="1" applyFill="1"/>
    <xf numFmtId="0" fontId="2" fillId="0" borderId="21" xfId="0" quotePrefix="1" applyFont="1" applyFill="1" applyBorder="1"/>
    <xf numFmtId="0" fontId="2" fillId="0" borderId="0" xfId="0" applyFont="1" applyFill="1" applyAlignment="1">
      <alignment horizontal="left"/>
    </xf>
    <xf numFmtId="0" fontId="54" fillId="6" borderId="0" xfId="0" applyFont="1" applyFill="1"/>
    <xf numFmtId="0" fontId="54" fillId="6" borderId="0" xfId="0" applyFont="1" applyFill="1" applyBorder="1"/>
    <xf numFmtId="0" fontId="54" fillId="6" borderId="0" xfId="0" applyFont="1" applyFill="1" applyAlignment="1">
      <alignment textRotation="90"/>
    </xf>
    <xf numFmtId="2" fontId="54" fillId="6" borderId="0" xfId="0" applyNumberFormat="1" applyFont="1" applyFill="1"/>
    <xf numFmtId="0" fontId="54" fillId="6" borderId="0" xfId="0" quotePrefix="1" applyFont="1" applyFill="1"/>
    <xf numFmtId="0" fontId="54" fillId="9" borderId="0" xfId="0" applyFont="1" applyFill="1"/>
    <xf numFmtId="0" fontId="54" fillId="6" borderId="0" xfId="0" applyFont="1" applyFill="1" applyBorder="1" applyAlignment="1">
      <alignment textRotation="90"/>
    </xf>
    <xf numFmtId="0" fontId="55" fillId="6" borderId="0" xfId="0" applyFont="1" applyFill="1" applyBorder="1" applyAlignment="1">
      <alignment horizontal="center"/>
    </xf>
    <xf numFmtId="2" fontId="54" fillId="6" borderId="0" xfId="0" applyNumberFormat="1" applyFont="1" applyFill="1" applyAlignment="1">
      <alignment horizontal="center"/>
    </xf>
    <xf numFmtId="0" fontId="55" fillId="6" borderId="0" xfId="0" applyFont="1" applyFill="1" applyBorder="1"/>
    <xf numFmtId="0" fontId="54" fillId="6" borderId="0" xfId="0" applyFont="1" applyFill="1" applyBorder="1" applyProtection="1">
      <protection locked="0"/>
    </xf>
    <xf numFmtId="0" fontId="27" fillId="6" borderId="0" xfId="0" applyFont="1" applyFill="1" applyAlignment="1">
      <alignment horizontal="center" vertical="center"/>
    </xf>
    <xf numFmtId="0" fontId="0" fillId="0" borderId="0" xfId="0" applyAlignment="1">
      <alignment horizontal="center" vertical="center"/>
    </xf>
    <xf numFmtId="0" fontId="27" fillId="6" borderId="0" xfId="0" applyFont="1" applyFill="1" applyAlignment="1">
      <alignment horizontal="center"/>
    </xf>
    <xf numFmtId="0" fontId="0" fillId="0" borderId="0" xfId="0" applyAlignment="1">
      <alignment horizontal="center"/>
    </xf>
    <xf numFmtId="180" fontId="20" fillId="6" borderId="54" xfId="0" applyNumberFormat="1" applyFont="1" applyFill="1" applyBorder="1" applyAlignment="1"/>
    <xf numFmtId="0" fontId="0" fillId="6" borderId="55" xfId="0" applyFill="1" applyBorder="1" applyAlignment="1"/>
    <xf numFmtId="0" fontId="0" fillId="6" borderId="56" xfId="0" applyFill="1" applyBorder="1" applyAlignment="1"/>
    <xf numFmtId="0" fontId="10" fillId="2" borderId="5" xfId="0" applyFont="1" applyFill="1" applyBorder="1" applyAlignment="1">
      <alignment horizontal="center" vertical="center" wrapText="1"/>
    </xf>
    <xf numFmtId="0" fontId="0" fillId="0" borderId="5" xfId="0" applyBorder="1" applyAlignment="1">
      <alignment horizontal="center" vertical="center"/>
    </xf>
    <xf numFmtId="0" fontId="0" fillId="0" borderId="7" xfId="0" applyBorder="1" applyAlignment="1">
      <alignment horizontal="center" vertical="center"/>
    </xf>
    <xf numFmtId="0" fontId="3" fillId="4" borderId="6" xfId="0" applyFont="1" applyFill="1" applyBorder="1" applyAlignment="1">
      <alignment horizontal="center"/>
    </xf>
    <xf numFmtId="0" fontId="0" fillId="0" borderId="5" xfId="0" applyBorder="1" applyAlignment="1">
      <alignment horizontal="center"/>
    </xf>
    <xf numFmtId="0" fontId="0" fillId="0" borderId="7" xfId="0" applyBorder="1" applyAlignment="1">
      <alignment horizontal="center"/>
    </xf>
    <xf numFmtId="0" fontId="0" fillId="0" borderId="57" xfId="0" applyBorder="1" applyAlignment="1">
      <alignment horizontal="center"/>
    </xf>
    <xf numFmtId="0" fontId="14" fillId="0" borderId="31" xfId="0" applyFont="1" applyFill="1" applyBorder="1" applyAlignment="1">
      <alignment vertical="center" wrapText="1"/>
    </xf>
    <xf numFmtId="0" fontId="2" fillId="0" borderId="31" xfId="0" applyFont="1" applyFill="1" applyBorder="1" applyAlignment="1">
      <alignment vertical="center" wrapText="1"/>
    </xf>
    <xf numFmtId="0" fontId="14" fillId="0" borderId="19" xfId="0" applyFont="1" applyFill="1" applyBorder="1" applyAlignment="1">
      <alignment vertical="center" wrapText="1"/>
    </xf>
    <xf numFmtId="0" fontId="2" fillId="0" borderId="19" xfId="0" applyFont="1" applyFill="1" applyBorder="1" applyAlignment="1">
      <alignment vertical="center"/>
    </xf>
    <xf numFmtId="0" fontId="2" fillId="0" borderId="24" xfId="0" applyFont="1" applyFill="1" applyBorder="1" applyAlignment="1">
      <alignment vertical="center"/>
    </xf>
    <xf numFmtId="0" fontId="14" fillId="0" borderId="12" xfId="0" applyFont="1" applyFill="1" applyBorder="1" applyAlignment="1">
      <alignment vertical="center"/>
    </xf>
    <xf numFmtId="0" fontId="14" fillId="0" borderId="50" xfId="0" applyFont="1" applyFill="1" applyBorder="1" applyAlignment="1">
      <alignment vertical="center"/>
    </xf>
    <xf numFmtId="0" fontId="14" fillId="0" borderId="37" xfId="0" applyFont="1" applyFill="1" applyBorder="1" applyAlignment="1">
      <alignment vertical="center" wrapText="1"/>
    </xf>
    <xf numFmtId="0" fontId="12" fillId="0" borderId="0" xfId="0" applyFont="1" applyFill="1" applyBorder="1" applyAlignment="1">
      <alignment vertical="center" wrapText="1"/>
    </xf>
    <xf numFmtId="0" fontId="56" fillId="6" borderId="0" xfId="0" applyFont="1" applyFill="1"/>
    <xf numFmtId="0" fontId="56" fillId="6" borderId="0" xfId="0" applyFont="1" applyFill="1" applyBorder="1"/>
    <xf numFmtId="0" fontId="57" fillId="6" borderId="0" xfId="0" applyFont="1" applyFill="1"/>
    <xf numFmtId="0" fontId="56" fillId="6" borderId="0" xfId="0" applyFont="1" applyFill="1" applyAlignment="1">
      <alignment textRotation="90"/>
    </xf>
    <xf numFmtId="180" fontId="56" fillId="6" borderId="0" xfId="0" applyNumberFormat="1" applyFont="1" applyFill="1"/>
    <xf numFmtId="0" fontId="56" fillId="9" borderId="0" xfId="0" applyFont="1" applyFill="1"/>
    <xf numFmtId="0" fontId="56" fillId="6" borderId="0" xfId="0" applyFont="1" applyFill="1" applyProtection="1">
      <protection locked="0"/>
    </xf>
    <xf numFmtId="2" fontId="56" fillId="6" borderId="0" xfId="0" applyNumberFormat="1" applyFont="1" applyFill="1"/>
    <xf numFmtId="0" fontId="56" fillId="6" borderId="0" xfId="0" quotePrefix="1" applyFont="1" applyFill="1"/>
    <xf numFmtId="0" fontId="56" fillId="6" borderId="0" xfId="0" applyFont="1" applyFill="1" applyAlignment="1"/>
    <xf numFmtId="0" fontId="58" fillId="0" borderId="0" xfId="0" applyFont="1" applyAlignment="1">
      <alignment horizontal="center"/>
    </xf>
    <xf numFmtId="2" fontId="54" fillId="6" borderId="0" xfId="0" applyNumberFormat="1" applyFont="1" applyFill="1" applyBorder="1" applyAlignment="1">
      <alignment horizontal="center"/>
    </xf>
    <xf numFmtId="0" fontId="20" fillId="13" borderId="0" xfId="0" applyFont="1" applyFill="1" applyBorder="1" applyProtection="1">
      <protection locked="0"/>
    </xf>
    <xf numFmtId="0" fontId="20" fillId="13" borderId="35" xfId="0" applyFont="1" applyFill="1" applyBorder="1" applyProtection="1">
      <protection locked="0"/>
    </xf>
    <xf numFmtId="0" fontId="20" fillId="13" borderId="39" xfId="0" applyFont="1" applyFill="1" applyBorder="1" applyProtection="1">
      <protection locked="0"/>
    </xf>
  </cellXfs>
  <cellStyles count="3">
    <cellStyle name="Komma" xfId="1" builtinId="3"/>
    <cellStyle name="Procent" xfId="2" builtinId="5"/>
    <cellStyle name="Standaard" xfId="0" builtinId="0"/>
  </cellStyles>
  <dxfs count="53">
    <dxf>
      <font>
        <condense val="0"/>
        <extend val="0"/>
        <color indexed="9"/>
      </font>
    </dxf>
    <dxf>
      <font>
        <condense val="0"/>
        <extend val="0"/>
        <color indexed="45"/>
      </font>
    </dxf>
    <dxf>
      <font>
        <condense val="0"/>
        <extend val="0"/>
        <color indexed="45"/>
      </font>
    </dxf>
    <dxf>
      <font>
        <b/>
        <i val="0"/>
        <condense val="0"/>
        <extend val="0"/>
      </font>
    </dxf>
    <dxf>
      <font>
        <condense val="0"/>
        <extend val="0"/>
        <color indexed="9"/>
      </font>
    </dxf>
    <dxf>
      <font>
        <b/>
        <i val="0"/>
        <condense val="0"/>
        <extend val="0"/>
        <color indexed="9"/>
      </font>
    </dxf>
    <dxf>
      <font>
        <condense val="0"/>
        <extend val="0"/>
        <color indexed="9"/>
      </font>
    </dxf>
    <dxf>
      <font>
        <condense val="0"/>
        <extend val="0"/>
        <color indexed="45"/>
      </font>
    </dxf>
    <dxf>
      <font>
        <b/>
        <i val="0"/>
        <condense val="0"/>
        <extend val="0"/>
        <color indexed="45"/>
      </font>
    </dxf>
    <dxf>
      <font>
        <b/>
        <i val="0"/>
        <condense val="0"/>
        <extend val="0"/>
        <color indexed="45"/>
      </font>
    </dxf>
    <dxf>
      <font>
        <condense val="0"/>
        <extend val="0"/>
        <color indexed="45"/>
      </font>
    </dxf>
    <dxf>
      <font>
        <condense val="0"/>
        <extend val="0"/>
        <color indexed="9"/>
      </font>
    </dxf>
    <dxf>
      <font>
        <condense val="0"/>
        <extend val="0"/>
        <color indexed="9"/>
      </font>
    </dxf>
    <dxf>
      <font>
        <condense val="0"/>
        <extend val="0"/>
        <color indexed="12"/>
      </font>
    </dxf>
    <dxf>
      <font>
        <b/>
        <i val="0"/>
        <condense val="0"/>
        <extend val="0"/>
        <color indexed="17"/>
      </font>
    </dxf>
    <dxf>
      <font>
        <condense val="0"/>
        <extend val="0"/>
        <color indexed="10"/>
      </font>
    </dxf>
    <dxf>
      <font>
        <condense val="0"/>
        <extend val="0"/>
        <color indexed="12"/>
      </font>
    </dxf>
    <dxf>
      <font>
        <b/>
        <i val="0"/>
        <condense val="0"/>
        <extend val="0"/>
        <color indexed="17"/>
      </font>
    </dxf>
    <dxf>
      <font>
        <condense val="0"/>
        <extend val="0"/>
        <color indexed="10"/>
      </font>
    </dxf>
    <dxf>
      <font>
        <condense val="0"/>
        <extend val="0"/>
        <color auto="1"/>
      </font>
    </dxf>
    <dxf>
      <font>
        <condense val="0"/>
        <extend val="0"/>
        <color indexed="44"/>
      </font>
    </dxf>
    <dxf>
      <font>
        <condense val="0"/>
        <extend val="0"/>
        <color indexed="12"/>
      </font>
    </dxf>
    <dxf>
      <font>
        <b/>
        <i val="0"/>
        <condense val="0"/>
        <extend val="0"/>
        <color indexed="17"/>
      </font>
    </dxf>
    <dxf>
      <font>
        <condense val="0"/>
        <extend val="0"/>
        <color indexed="10"/>
      </font>
    </dxf>
    <dxf>
      <font>
        <condense val="0"/>
        <extend val="0"/>
        <color indexed="12"/>
      </font>
    </dxf>
    <dxf>
      <font>
        <b/>
        <i val="0"/>
        <condense val="0"/>
        <extend val="0"/>
        <color indexed="17"/>
      </font>
    </dxf>
    <dxf>
      <font>
        <condense val="0"/>
        <extend val="0"/>
        <color indexed="10"/>
      </font>
    </dxf>
    <dxf>
      <font>
        <condense val="0"/>
        <extend val="0"/>
        <color indexed="44"/>
      </font>
    </dxf>
    <dxf>
      <font>
        <b/>
        <i val="0"/>
        <condense val="0"/>
        <extend val="0"/>
        <color indexed="44"/>
      </font>
    </dxf>
    <dxf>
      <font>
        <b/>
        <i val="0"/>
        <condense val="0"/>
        <extend val="0"/>
        <color indexed="44"/>
      </font>
    </dxf>
    <dxf>
      <font>
        <condense val="0"/>
        <extend val="0"/>
        <color indexed="12"/>
      </font>
    </dxf>
    <dxf>
      <font>
        <b/>
        <i val="0"/>
        <condense val="0"/>
        <extend val="0"/>
        <color indexed="17"/>
      </font>
    </dxf>
    <dxf>
      <font>
        <condense val="0"/>
        <extend val="0"/>
        <color indexed="10"/>
      </font>
    </dxf>
    <dxf>
      <font>
        <condense val="0"/>
        <extend val="0"/>
        <color indexed="12"/>
      </font>
    </dxf>
    <dxf>
      <font>
        <b/>
        <i val="0"/>
        <condense val="0"/>
        <extend val="0"/>
        <color indexed="17"/>
      </font>
    </dxf>
    <dxf>
      <font>
        <condense val="0"/>
        <extend val="0"/>
        <color indexed="10"/>
      </font>
    </dxf>
    <dxf>
      <font>
        <condense val="0"/>
        <extend val="0"/>
        <color indexed="12"/>
      </font>
    </dxf>
    <dxf>
      <font>
        <b/>
        <i val="0"/>
        <condense val="0"/>
        <extend val="0"/>
        <color indexed="17"/>
      </font>
    </dxf>
    <dxf>
      <font>
        <condense val="0"/>
        <extend val="0"/>
        <color indexed="10"/>
      </font>
    </dxf>
    <dxf>
      <fill>
        <patternFill>
          <bgColor indexed="50"/>
        </patternFill>
      </fill>
    </dxf>
    <dxf>
      <font>
        <b/>
        <i val="0"/>
        <condense val="0"/>
        <extend val="0"/>
        <color indexed="52"/>
      </font>
    </dxf>
    <dxf>
      <font>
        <b/>
        <i val="0"/>
        <condense val="0"/>
        <extend val="0"/>
        <color indexed="52"/>
      </font>
    </dxf>
    <dxf>
      <font>
        <b/>
        <i val="0"/>
        <condense val="0"/>
        <extend val="0"/>
        <color indexed="52"/>
      </font>
    </dxf>
    <dxf>
      <font>
        <b/>
        <i val="0"/>
        <condense val="0"/>
        <extend val="0"/>
        <color indexed="52"/>
      </font>
    </dxf>
    <dxf>
      <font>
        <b/>
        <i val="0"/>
        <condense val="0"/>
        <extend val="0"/>
        <color indexed="52"/>
      </font>
    </dxf>
    <dxf>
      <font>
        <b val="0"/>
        <i val="0"/>
        <condense val="0"/>
        <extend val="0"/>
        <color auto="1"/>
      </font>
    </dxf>
    <dxf>
      <font>
        <b/>
        <i val="0"/>
        <condense val="0"/>
        <extend val="0"/>
        <color indexed="52"/>
      </font>
    </dxf>
    <dxf>
      <font>
        <b/>
        <i val="0"/>
        <condense val="0"/>
        <extend val="0"/>
        <color indexed="52"/>
      </font>
    </dxf>
    <dxf>
      <font>
        <b/>
        <i val="0"/>
        <condense val="0"/>
        <extend val="0"/>
        <color indexed="52"/>
      </font>
    </dxf>
    <dxf>
      <font>
        <b/>
        <i val="0"/>
        <condense val="0"/>
        <extend val="0"/>
        <color indexed="52"/>
      </font>
    </dxf>
    <dxf>
      <font>
        <b/>
        <i val="0"/>
        <condense val="0"/>
        <extend val="0"/>
        <color indexed="52"/>
      </font>
    </dxf>
    <dxf>
      <font>
        <b/>
        <i val="0"/>
        <condense val="0"/>
        <extend val="0"/>
        <color indexed="52"/>
      </font>
    </dxf>
    <dxf>
      <font>
        <b/>
        <i val="0"/>
        <condense val="0"/>
        <extend val="0"/>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lang val="nl-NL"/>
  <c:chart>
    <c:plotArea>
      <c:layout>
        <c:manualLayout>
          <c:layoutTarget val="inner"/>
          <c:xMode val="edge"/>
          <c:yMode val="edge"/>
          <c:x val="0.13969590099831025"/>
          <c:y val="7.7540106951871662E-2"/>
          <c:w val="0.7067782713874905"/>
          <c:h val="0.72727272727272729"/>
        </c:manualLayout>
      </c:layout>
      <c:barChart>
        <c:barDir val="col"/>
        <c:grouping val="percentStacked"/>
        <c:ser>
          <c:idx val="0"/>
          <c:order val="0"/>
          <c:tx>
            <c:strRef>
              <c:f>Techniek!$C$19</c:f>
              <c:strCache>
                <c:ptCount val="1"/>
                <c:pt idx="0">
                  <c:v>radiaal</c:v>
                </c:pt>
              </c:strCache>
            </c:strRef>
          </c:tx>
          <c:spPr>
            <a:solidFill>
              <a:srgbClr val="9999FF"/>
            </a:solidFill>
            <a:ln w="12700">
              <a:solidFill>
                <a:srgbClr val="000000"/>
              </a:solidFill>
              <a:prstDash val="solid"/>
            </a:ln>
          </c:spPr>
          <c:cat>
            <c:strRef>
              <c:f>Techniek!$D$18:$H$18</c:f>
              <c:strCache>
                <c:ptCount val="5"/>
                <c:pt idx="0">
                  <c:v>&lt;5</c:v>
                </c:pt>
                <c:pt idx="1">
                  <c:v>&gt;5-25</c:v>
                </c:pt>
                <c:pt idx="2">
                  <c:v>&gt;25-75</c:v>
                </c:pt>
                <c:pt idx="3">
                  <c:v>&gt;75-200</c:v>
                </c:pt>
                <c:pt idx="4">
                  <c:v>&gt;200</c:v>
                </c:pt>
              </c:strCache>
            </c:strRef>
          </c:cat>
          <c:val>
            <c:numRef>
              <c:f>Techniek!$D$19:$H$19</c:f>
              <c:numCache>
                <c:formatCode>0%</c:formatCode>
                <c:ptCount val="5"/>
                <c:pt idx="0">
                  <c:v>0.18055555555555555</c:v>
                </c:pt>
                <c:pt idx="1">
                  <c:v>0.10526315789473684</c:v>
                </c:pt>
                <c:pt idx="2">
                  <c:v>9.9236641221374045E-2</c:v>
                </c:pt>
                <c:pt idx="3">
                  <c:v>0.13513513513513514</c:v>
                </c:pt>
                <c:pt idx="4">
                  <c:v>0.26046511627906976</c:v>
                </c:pt>
              </c:numCache>
            </c:numRef>
          </c:val>
        </c:ser>
        <c:ser>
          <c:idx val="1"/>
          <c:order val="1"/>
          <c:tx>
            <c:strRef>
              <c:f>Techniek!$C$20</c:f>
              <c:strCache>
                <c:ptCount val="1"/>
                <c:pt idx="0">
                  <c:v>half-axiaal</c:v>
                </c:pt>
              </c:strCache>
            </c:strRef>
          </c:tx>
          <c:spPr>
            <a:solidFill>
              <a:srgbClr val="993366"/>
            </a:solidFill>
            <a:ln w="12700">
              <a:solidFill>
                <a:srgbClr val="000000"/>
              </a:solidFill>
              <a:prstDash val="solid"/>
            </a:ln>
          </c:spPr>
          <c:cat>
            <c:strRef>
              <c:f>Techniek!$D$18:$H$18</c:f>
              <c:strCache>
                <c:ptCount val="5"/>
                <c:pt idx="0">
                  <c:v>&lt;5</c:v>
                </c:pt>
                <c:pt idx="1">
                  <c:v>&gt;5-25</c:v>
                </c:pt>
                <c:pt idx="2">
                  <c:v>&gt;25-75</c:v>
                </c:pt>
                <c:pt idx="3">
                  <c:v>&gt;75-200</c:v>
                </c:pt>
                <c:pt idx="4">
                  <c:v>&gt;200</c:v>
                </c:pt>
              </c:strCache>
            </c:strRef>
          </c:cat>
          <c:val>
            <c:numRef>
              <c:f>Techniek!$D$20:$H$20</c:f>
              <c:numCache>
                <c:formatCode>0%</c:formatCode>
                <c:ptCount val="5"/>
                <c:pt idx="0">
                  <c:v>2.7777777777777776E-2</c:v>
                </c:pt>
                <c:pt idx="1">
                  <c:v>4.0935672514619881E-2</c:v>
                </c:pt>
                <c:pt idx="2">
                  <c:v>2.2900763358778626E-2</c:v>
                </c:pt>
                <c:pt idx="3">
                  <c:v>9.45945945945946E-2</c:v>
                </c:pt>
                <c:pt idx="4">
                  <c:v>0.17674418604651163</c:v>
                </c:pt>
              </c:numCache>
            </c:numRef>
          </c:val>
        </c:ser>
        <c:ser>
          <c:idx val="2"/>
          <c:order val="2"/>
          <c:tx>
            <c:strRef>
              <c:f>Techniek!$C$21</c:f>
              <c:strCache>
                <c:ptCount val="1"/>
                <c:pt idx="0">
                  <c:v>axiaal</c:v>
                </c:pt>
              </c:strCache>
            </c:strRef>
          </c:tx>
          <c:spPr>
            <a:solidFill>
              <a:srgbClr val="FFFFCC"/>
            </a:solidFill>
            <a:ln w="12700">
              <a:solidFill>
                <a:srgbClr val="000000"/>
              </a:solidFill>
              <a:prstDash val="solid"/>
            </a:ln>
          </c:spPr>
          <c:cat>
            <c:strRef>
              <c:f>Techniek!$D$18:$H$18</c:f>
              <c:strCache>
                <c:ptCount val="5"/>
                <c:pt idx="0">
                  <c:v>&lt;5</c:v>
                </c:pt>
                <c:pt idx="1">
                  <c:v>&gt;5-25</c:v>
                </c:pt>
                <c:pt idx="2">
                  <c:v>&gt;25-75</c:v>
                </c:pt>
                <c:pt idx="3">
                  <c:v>&gt;75-200</c:v>
                </c:pt>
                <c:pt idx="4">
                  <c:v>&gt;200</c:v>
                </c:pt>
              </c:strCache>
            </c:strRef>
          </c:cat>
          <c:val>
            <c:numRef>
              <c:f>Techniek!$D$21:$H$21</c:f>
              <c:numCache>
                <c:formatCode>0%</c:formatCode>
                <c:ptCount val="5"/>
                <c:pt idx="0">
                  <c:v>0.65972222222222221</c:v>
                </c:pt>
                <c:pt idx="1">
                  <c:v>0.56140350877192979</c:v>
                </c:pt>
                <c:pt idx="2">
                  <c:v>0.48854961832061067</c:v>
                </c:pt>
                <c:pt idx="3">
                  <c:v>0.43243243243243246</c:v>
                </c:pt>
                <c:pt idx="4">
                  <c:v>0.44651162790697674</c:v>
                </c:pt>
              </c:numCache>
            </c:numRef>
          </c:val>
        </c:ser>
        <c:ser>
          <c:idx val="3"/>
          <c:order val="3"/>
          <c:tx>
            <c:strRef>
              <c:f>Techniek!$C$22</c:f>
              <c:strCache>
                <c:ptCount val="1"/>
                <c:pt idx="0">
                  <c:v>vijzel</c:v>
                </c:pt>
              </c:strCache>
            </c:strRef>
          </c:tx>
          <c:spPr>
            <a:solidFill>
              <a:srgbClr val="CCFFFF"/>
            </a:solidFill>
            <a:ln w="12700">
              <a:solidFill>
                <a:srgbClr val="000000"/>
              </a:solidFill>
              <a:prstDash val="solid"/>
            </a:ln>
          </c:spPr>
          <c:cat>
            <c:strRef>
              <c:f>Techniek!$D$18:$H$18</c:f>
              <c:strCache>
                <c:ptCount val="5"/>
                <c:pt idx="0">
                  <c:v>&lt;5</c:v>
                </c:pt>
                <c:pt idx="1">
                  <c:v>&gt;5-25</c:v>
                </c:pt>
                <c:pt idx="2">
                  <c:v>&gt;25-75</c:v>
                </c:pt>
                <c:pt idx="3">
                  <c:v>&gt;75-200</c:v>
                </c:pt>
                <c:pt idx="4">
                  <c:v>&gt;200</c:v>
                </c:pt>
              </c:strCache>
            </c:strRef>
          </c:cat>
          <c:val>
            <c:numRef>
              <c:f>Techniek!$D$22:$H$22</c:f>
              <c:numCache>
                <c:formatCode>0%</c:formatCode>
                <c:ptCount val="5"/>
                <c:pt idx="0">
                  <c:v>0.13194444444444445</c:v>
                </c:pt>
                <c:pt idx="1">
                  <c:v>0.29239766081871343</c:v>
                </c:pt>
                <c:pt idx="2">
                  <c:v>0.38931297709923662</c:v>
                </c:pt>
                <c:pt idx="3">
                  <c:v>0.33783783783783783</c:v>
                </c:pt>
                <c:pt idx="4">
                  <c:v>0.11627906976744186</c:v>
                </c:pt>
              </c:numCache>
            </c:numRef>
          </c:val>
        </c:ser>
        <c:overlap val="100"/>
        <c:axId val="60024320"/>
        <c:axId val="77484032"/>
      </c:barChart>
      <c:catAx>
        <c:axId val="60024320"/>
        <c:scaling>
          <c:orientation val="minMax"/>
        </c:scaling>
        <c:axPos val="b"/>
        <c:title>
          <c:tx>
            <c:rich>
              <a:bodyPr/>
              <a:lstStyle/>
              <a:p>
                <a:pPr>
                  <a:defRPr sz="875" b="1" i="0" u="none" strike="noStrike" baseline="0">
                    <a:solidFill>
                      <a:srgbClr val="000000"/>
                    </a:solidFill>
                    <a:latin typeface="Arial"/>
                    <a:ea typeface="Arial"/>
                    <a:cs typeface="Arial"/>
                  </a:defRPr>
                </a:pPr>
                <a:r>
                  <a:rPr lang="nl-NL"/>
                  <a:t>capaciteit (m3/min)</a:t>
                </a:r>
              </a:p>
            </c:rich>
          </c:tx>
          <c:layout>
            <c:manualLayout>
              <c:xMode val="edge"/>
              <c:yMode val="edge"/>
              <c:x val="0.41493834017635761"/>
              <c:y val="0.88502673796791442"/>
            </c:manualLayout>
          </c:layout>
          <c:spPr>
            <a:noFill/>
            <a:ln w="25400">
              <a:noFill/>
            </a:ln>
          </c:spPr>
        </c:title>
        <c:numFmt formatCode="0%" sourceLinked="1"/>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nl-NL"/>
          </a:p>
        </c:txPr>
        <c:crossAx val="77484032"/>
        <c:crosses val="autoZero"/>
        <c:auto val="1"/>
        <c:lblAlgn val="ctr"/>
        <c:lblOffset val="100"/>
        <c:tickLblSkip val="1"/>
        <c:tickMarkSkip val="1"/>
      </c:catAx>
      <c:valAx>
        <c:axId val="77484032"/>
        <c:scaling>
          <c:orientation val="minMax"/>
        </c:scaling>
        <c:axPos val="l"/>
        <c:majorGridlines>
          <c:spPr>
            <a:ln w="3175">
              <a:solidFill>
                <a:srgbClr val="000000"/>
              </a:solidFill>
              <a:prstDash val="solid"/>
            </a:ln>
          </c:spPr>
        </c:majorGridlines>
        <c:title>
          <c:tx>
            <c:rich>
              <a:bodyPr/>
              <a:lstStyle/>
              <a:p>
                <a:pPr>
                  <a:defRPr sz="875" b="1" i="0" u="none" strike="noStrike" baseline="0">
                    <a:solidFill>
                      <a:srgbClr val="000000"/>
                    </a:solidFill>
                    <a:latin typeface="Arial"/>
                    <a:ea typeface="Arial"/>
                    <a:cs typeface="Arial"/>
                  </a:defRPr>
                </a:pPr>
                <a:r>
                  <a:rPr lang="nl-NL"/>
                  <a:t>techinsche geschiktheid o.b.v. huidige inzichten</a:t>
                </a:r>
              </a:p>
            </c:rich>
          </c:tx>
          <c:layout>
            <c:manualLayout>
              <c:xMode val="edge"/>
              <c:yMode val="edge"/>
              <c:x val="2.9045643153526972E-2"/>
              <c:y val="7.7540106951871662E-2"/>
            </c:manualLayout>
          </c:layout>
          <c:spPr>
            <a:noFill/>
            <a:ln w="25400">
              <a:noFill/>
            </a:ln>
          </c:spPr>
        </c:title>
        <c:numFmt formatCode="0%" sourceLinked="1"/>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nl-NL"/>
          </a:p>
        </c:txPr>
        <c:crossAx val="60024320"/>
        <c:crosses val="autoZero"/>
        <c:crossBetween val="between"/>
      </c:valAx>
      <c:spPr>
        <a:solidFill>
          <a:srgbClr val="C0C0C0"/>
        </a:solidFill>
        <a:ln w="12700">
          <a:solidFill>
            <a:srgbClr val="808080"/>
          </a:solidFill>
          <a:prstDash val="solid"/>
        </a:ln>
      </c:spPr>
    </c:plotArea>
    <c:legend>
      <c:legendPos val="r"/>
      <c:layout>
        <c:manualLayout>
          <c:xMode val="edge"/>
          <c:yMode val="edge"/>
          <c:x val="0.85062356831952013"/>
          <c:y val="0.31550802139037432"/>
          <c:w val="0.10650083677299671"/>
          <c:h val="0.20588235294117646"/>
        </c:manualLayout>
      </c:layout>
      <c:spPr>
        <a:solidFill>
          <a:srgbClr val="FFFFFF"/>
        </a:solidFill>
        <a:ln w="3175">
          <a:solidFill>
            <a:srgbClr val="000000"/>
          </a:solidFill>
          <a:prstDash val="solid"/>
        </a:ln>
      </c:spPr>
      <c:txPr>
        <a:bodyPr/>
        <a:lstStyle/>
        <a:p>
          <a:pPr>
            <a:defRPr sz="780" b="0" i="0" u="none" strike="noStrike" baseline="0">
              <a:solidFill>
                <a:srgbClr val="000000"/>
              </a:solidFill>
              <a:latin typeface="Arial"/>
              <a:ea typeface="Arial"/>
              <a:cs typeface="Arial"/>
            </a:defRPr>
          </a:pPr>
          <a:endParaRPr lang="nl-NL"/>
        </a:p>
      </c:txPr>
    </c:legend>
    <c:plotVisOnly val="1"/>
    <c:dispBlanksAs val="gap"/>
  </c:chart>
  <c:spPr>
    <a:solidFill>
      <a:srgbClr val="FFFFFF"/>
    </a:solidFill>
    <a:ln w="3175">
      <a:solidFill>
        <a:srgbClr val="000000"/>
      </a:solidFill>
      <a:prstDash val="solid"/>
    </a:ln>
  </c:spPr>
  <c:txPr>
    <a:bodyPr/>
    <a:lstStyle/>
    <a:p>
      <a:pPr>
        <a:defRPr sz="875" b="0" i="0" u="none" strike="noStrike" baseline="0">
          <a:solidFill>
            <a:srgbClr val="000000"/>
          </a:solidFill>
          <a:latin typeface="Arial"/>
          <a:ea typeface="Arial"/>
          <a:cs typeface="Arial"/>
        </a:defRPr>
      </a:pPr>
      <a:endParaRPr lang="nl-NL"/>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nl-NL"/>
  <c:chart>
    <c:plotArea>
      <c:layout>
        <c:manualLayout>
          <c:layoutTarget val="inner"/>
          <c:xMode val="edge"/>
          <c:yMode val="edge"/>
          <c:x val="0.1310344827586207"/>
          <c:y val="6.9518716577540107E-2"/>
          <c:w val="0.73793103448275865"/>
          <c:h val="0.75401069518716579"/>
        </c:manualLayout>
      </c:layout>
      <c:barChart>
        <c:barDir val="col"/>
        <c:grouping val="percentStacked"/>
        <c:ser>
          <c:idx val="0"/>
          <c:order val="0"/>
          <c:tx>
            <c:strRef>
              <c:f>Techniek!$C$56</c:f>
              <c:strCache>
                <c:ptCount val="1"/>
                <c:pt idx="0">
                  <c:v>radiaal</c:v>
                </c:pt>
              </c:strCache>
            </c:strRef>
          </c:tx>
          <c:spPr>
            <a:solidFill>
              <a:srgbClr val="9999FF"/>
            </a:solidFill>
            <a:ln w="12700">
              <a:solidFill>
                <a:srgbClr val="000000"/>
              </a:solidFill>
              <a:prstDash val="solid"/>
            </a:ln>
          </c:spPr>
          <c:cat>
            <c:strRef>
              <c:f>Techniek!$D$55:$I$55</c:f>
              <c:strCache>
                <c:ptCount val="6"/>
                <c:pt idx="0">
                  <c:v>&lt;1</c:v>
                </c:pt>
                <c:pt idx="1">
                  <c:v>&gt;1-2</c:v>
                </c:pt>
                <c:pt idx="2">
                  <c:v>&gt;2-4</c:v>
                </c:pt>
                <c:pt idx="3">
                  <c:v>&gt;4-6</c:v>
                </c:pt>
                <c:pt idx="4">
                  <c:v>&gt;6-7</c:v>
                </c:pt>
                <c:pt idx="5">
                  <c:v>&gt;7</c:v>
                </c:pt>
              </c:strCache>
            </c:strRef>
          </c:cat>
          <c:val>
            <c:numRef>
              <c:f>Techniek!$D$56:$I$56</c:f>
              <c:numCache>
                <c:formatCode>0%</c:formatCode>
                <c:ptCount val="6"/>
                <c:pt idx="0">
                  <c:v>0.14227642276422764</c:v>
                </c:pt>
                <c:pt idx="1">
                  <c:v>0.1497005988023952</c:v>
                </c:pt>
                <c:pt idx="2">
                  <c:v>0.36969696969696969</c:v>
                </c:pt>
                <c:pt idx="3">
                  <c:v>0.2857142857142857</c:v>
                </c:pt>
                <c:pt idx="4">
                  <c:v>0.875</c:v>
                </c:pt>
                <c:pt idx="5">
                  <c:v>1</c:v>
                </c:pt>
              </c:numCache>
            </c:numRef>
          </c:val>
        </c:ser>
        <c:ser>
          <c:idx val="1"/>
          <c:order val="1"/>
          <c:tx>
            <c:strRef>
              <c:f>Techniek!$C$57</c:f>
              <c:strCache>
                <c:ptCount val="1"/>
                <c:pt idx="0">
                  <c:v>half-axiaal</c:v>
                </c:pt>
              </c:strCache>
            </c:strRef>
          </c:tx>
          <c:spPr>
            <a:solidFill>
              <a:srgbClr val="993366"/>
            </a:solidFill>
            <a:ln w="12700">
              <a:solidFill>
                <a:srgbClr val="000000"/>
              </a:solidFill>
              <a:prstDash val="solid"/>
            </a:ln>
          </c:spPr>
          <c:cat>
            <c:strRef>
              <c:f>Techniek!$D$55:$I$55</c:f>
              <c:strCache>
                <c:ptCount val="6"/>
                <c:pt idx="0">
                  <c:v>&lt;1</c:v>
                </c:pt>
                <c:pt idx="1">
                  <c:v>&gt;1-2</c:v>
                </c:pt>
                <c:pt idx="2">
                  <c:v>&gt;2-4</c:v>
                </c:pt>
                <c:pt idx="3">
                  <c:v>&gt;4-6</c:v>
                </c:pt>
                <c:pt idx="4">
                  <c:v>&gt;6-7</c:v>
                </c:pt>
                <c:pt idx="5">
                  <c:v>&gt;7</c:v>
                </c:pt>
              </c:strCache>
            </c:strRef>
          </c:cat>
          <c:val>
            <c:numRef>
              <c:f>Techniek!$D$57:$I$57</c:f>
              <c:numCache>
                <c:formatCode>0%</c:formatCode>
                <c:ptCount val="6"/>
                <c:pt idx="0">
                  <c:v>8.130081300813009E-3</c:v>
                </c:pt>
                <c:pt idx="1">
                  <c:v>2.0958083832335328E-2</c:v>
                </c:pt>
                <c:pt idx="2">
                  <c:v>7.8787878787878782E-2</c:v>
                </c:pt>
                <c:pt idx="3">
                  <c:v>0.14285714285714285</c:v>
                </c:pt>
                <c:pt idx="4">
                  <c:v>0</c:v>
                </c:pt>
                <c:pt idx="5">
                  <c:v>0</c:v>
                </c:pt>
              </c:numCache>
            </c:numRef>
          </c:val>
        </c:ser>
        <c:ser>
          <c:idx val="2"/>
          <c:order val="2"/>
          <c:tx>
            <c:strRef>
              <c:f>Techniek!$C$58</c:f>
              <c:strCache>
                <c:ptCount val="1"/>
                <c:pt idx="0">
                  <c:v>axiaal</c:v>
                </c:pt>
              </c:strCache>
            </c:strRef>
          </c:tx>
          <c:spPr>
            <a:solidFill>
              <a:srgbClr val="FFFFCC"/>
            </a:solidFill>
            <a:ln w="12700">
              <a:solidFill>
                <a:srgbClr val="000000"/>
              </a:solidFill>
              <a:prstDash val="solid"/>
            </a:ln>
          </c:spPr>
          <c:cat>
            <c:strRef>
              <c:f>Techniek!$D$55:$I$55</c:f>
              <c:strCache>
                <c:ptCount val="6"/>
                <c:pt idx="0">
                  <c:v>&lt;1</c:v>
                </c:pt>
                <c:pt idx="1">
                  <c:v>&gt;1-2</c:v>
                </c:pt>
                <c:pt idx="2">
                  <c:v>&gt;2-4</c:v>
                </c:pt>
                <c:pt idx="3">
                  <c:v>&gt;4-6</c:v>
                </c:pt>
                <c:pt idx="4">
                  <c:v>&gt;6-7</c:v>
                </c:pt>
                <c:pt idx="5">
                  <c:v>&gt;7</c:v>
                </c:pt>
              </c:strCache>
            </c:strRef>
          </c:cat>
          <c:val>
            <c:numRef>
              <c:f>Techniek!$D$58:$I$58</c:f>
              <c:numCache>
                <c:formatCode>0%</c:formatCode>
                <c:ptCount val="6"/>
                <c:pt idx="0">
                  <c:v>0.50406504065040647</c:v>
                </c:pt>
                <c:pt idx="1">
                  <c:v>0.51497005988023947</c:v>
                </c:pt>
                <c:pt idx="2">
                  <c:v>0.38181818181818183</c:v>
                </c:pt>
                <c:pt idx="3">
                  <c:v>0.38775510204081631</c:v>
                </c:pt>
                <c:pt idx="4">
                  <c:v>0</c:v>
                </c:pt>
                <c:pt idx="5">
                  <c:v>0</c:v>
                </c:pt>
              </c:numCache>
            </c:numRef>
          </c:val>
        </c:ser>
        <c:ser>
          <c:idx val="3"/>
          <c:order val="3"/>
          <c:tx>
            <c:strRef>
              <c:f>Techniek!$C$59</c:f>
              <c:strCache>
                <c:ptCount val="1"/>
                <c:pt idx="0">
                  <c:v>vijzel</c:v>
                </c:pt>
              </c:strCache>
            </c:strRef>
          </c:tx>
          <c:spPr>
            <a:solidFill>
              <a:srgbClr val="CCFFFF"/>
            </a:solidFill>
            <a:ln w="12700">
              <a:solidFill>
                <a:srgbClr val="000000"/>
              </a:solidFill>
              <a:prstDash val="solid"/>
            </a:ln>
          </c:spPr>
          <c:cat>
            <c:strRef>
              <c:f>Techniek!$D$55:$I$55</c:f>
              <c:strCache>
                <c:ptCount val="6"/>
                <c:pt idx="0">
                  <c:v>&lt;1</c:v>
                </c:pt>
                <c:pt idx="1">
                  <c:v>&gt;1-2</c:v>
                </c:pt>
                <c:pt idx="2">
                  <c:v>&gt;2-4</c:v>
                </c:pt>
                <c:pt idx="3">
                  <c:v>&gt;4-6</c:v>
                </c:pt>
                <c:pt idx="4">
                  <c:v>&gt;6-7</c:v>
                </c:pt>
                <c:pt idx="5">
                  <c:v>&gt;7</c:v>
                </c:pt>
              </c:strCache>
            </c:strRef>
          </c:cat>
          <c:val>
            <c:numRef>
              <c:f>Techniek!$D$59:$I$59</c:f>
              <c:numCache>
                <c:formatCode>0%</c:formatCode>
                <c:ptCount val="6"/>
                <c:pt idx="0">
                  <c:v>0.34552845528455284</c:v>
                </c:pt>
                <c:pt idx="1">
                  <c:v>0.31437125748502992</c:v>
                </c:pt>
                <c:pt idx="2">
                  <c:v>0.16969696969696971</c:v>
                </c:pt>
                <c:pt idx="3">
                  <c:v>0.18367346938775511</c:v>
                </c:pt>
                <c:pt idx="4">
                  <c:v>0.125</c:v>
                </c:pt>
                <c:pt idx="5">
                  <c:v>0</c:v>
                </c:pt>
              </c:numCache>
            </c:numRef>
          </c:val>
        </c:ser>
        <c:overlap val="100"/>
        <c:axId val="77518720"/>
        <c:axId val="77524992"/>
      </c:barChart>
      <c:catAx>
        <c:axId val="77518720"/>
        <c:scaling>
          <c:orientation val="minMax"/>
        </c:scaling>
        <c:axPos val="b"/>
        <c:title>
          <c:tx>
            <c:rich>
              <a:bodyPr/>
              <a:lstStyle/>
              <a:p>
                <a:pPr>
                  <a:defRPr sz="800" b="1" i="0" u="none" strike="noStrike" baseline="0">
                    <a:solidFill>
                      <a:srgbClr val="000000"/>
                    </a:solidFill>
                    <a:latin typeface="Arial"/>
                    <a:ea typeface="Arial"/>
                    <a:cs typeface="Arial"/>
                  </a:defRPr>
                </a:pPr>
                <a:r>
                  <a:rPr lang="nl-NL"/>
                  <a:t>opvoerhoogte (m)</a:t>
                </a:r>
              </a:p>
            </c:rich>
          </c:tx>
          <c:layout>
            <c:manualLayout>
              <c:xMode val="edge"/>
              <c:yMode val="edge"/>
              <c:x val="0.42758620689655175"/>
              <c:y val="0.90374331550802134"/>
            </c:manualLayout>
          </c:layout>
          <c:spPr>
            <a:noFill/>
            <a:ln w="25400">
              <a:noFill/>
            </a:ln>
          </c:spPr>
        </c:title>
        <c:numFmt formatCode="0%" sourceLinked="1"/>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nl-NL"/>
          </a:p>
        </c:txPr>
        <c:crossAx val="77524992"/>
        <c:crosses val="autoZero"/>
        <c:auto val="1"/>
        <c:lblAlgn val="ctr"/>
        <c:lblOffset val="100"/>
        <c:tickLblSkip val="1"/>
        <c:tickMarkSkip val="1"/>
      </c:catAx>
      <c:valAx>
        <c:axId val="77524992"/>
        <c:scaling>
          <c:orientation val="minMax"/>
        </c:scaling>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nl-NL"/>
                  <a:t>technische geschiktheid o.b.v. huidige inzichten</a:t>
                </a:r>
              </a:p>
            </c:rich>
          </c:tx>
          <c:layout>
            <c:manualLayout>
              <c:xMode val="edge"/>
              <c:yMode val="edge"/>
              <c:x val="2.2068965517241378E-2"/>
              <c:y val="8.8235294117647065E-2"/>
            </c:manualLayout>
          </c:layout>
          <c:spPr>
            <a:noFill/>
            <a:ln w="25400">
              <a:noFill/>
            </a:ln>
          </c:spPr>
        </c:title>
        <c:numFmt formatCode="0%" sourceLinked="1"/>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nl-NL"/>
          </a:p>
        </c:txPr>
        <c:crossAx val="77518720"/>
        <c:crosses val="autoZero"/>
        <c:crossBetween val="between"/>
      </c:valAx>
      <c:spPr>
        <a:solidFill>
          <a:srgbClr val="C0C0C0"/>
        </a:solidFill>
        <a:ln w="12700">
          <a:solidFill>
            <a:srgbClr val="808080"/>
          </a:solidFill>
          <a:prstDash val="solid"/>
        </a:ln>
      </c:spPr>
    </c:plotArea>
    <c:legend>
      <c:legendPos val="r"/>
      <c:layout>
        <c:manualLayout>
          <c:xMode val="edge"/>
          <c:yMode val="edge"/>
          <c:x val="0.88413793103448279"/>
          <c:y val="0.33957219251336901"/>
          <c:w val="0.10482758620689658"/>
          <c:h val="0.21657754010695185"/>
        </c:manualLayout>
      </c:layout>
      <c:spPr>
        <a:solidFill>
          <a:srgbClr val="FFFFFF"/>
        </a:solidFill>
        <a:ln w="3175">
          <a:solidFill>
            <a:srgbClr val="000000"/>
          </a:solidFill>
          <a:prstDash val="solid"/>
        </a:ln>
      </c:spPr>
      <c:txPr>
        <a:bodyPr/>
        <a:lstStyle/>
        <a:p>
          <a:pPr>
            <a:defRPr sz="805" b="0" i="0" u="none" strike="noStrike" baseline="0">
              <a:solidFill>
                <a:srgbClr val="000000"/>
              </a:solidFill>
              <a:latin typeface="Arial"/>
              <a:ea typeface="Arial"/>
              <a:cs typeface="Arial"/>
            </a:defRPr>
          </a:pPr>
          <a:endParaRPr lang="nl-NL"/>
        </a:p>
      </c:txPr>
    </c:legend>
    <c:plotVisOnly val="1"/>
    <c:dispBlanksAs val="gap"/>
  </c:chart>
  <c:spPr>
    <a:solidFill>
      <a:srgbClr val="FFFFFF"/>
    </a:solidFill>
    <a:ln w="3175">
      <a:solidFill>
        <a:srgbClr val="000000"/>
      </a:solidFill>
      <a:prstDash val="solid"/>
    </a:ln>
  </c:spPr>
  <c:txPr>
    <a:bodyPr/>
    <a:lstStyle/>
    <a:p>
      <a:pPr>
        <a:defRPr sz="875" b="0" i="0" u="none" strike="noStrike" baseline="0">
          <a:solidFill>
            <a:srgbClr val="000000"/>
          </a:solidFill>
          <a:latin typeface="Arial"/>
          <a:ea typeface="Arial"/>
          <a:cs typeface="Arial"/>
        </a:defRPr>
      </a:pPr>
      <a:endParaRPr lang="nl-NL"/>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0</xdr:colOff>
      <xdr:row>82</xdr:row>
      <xdr:rowOff>114300</xdr:rowOff>
    </xdr:from>
    <xdr:to>
      <xdr:col>2</xdr:col>
      <xdr:colOff>0</xdr:colOff>
      <xdr:row>82</xdr:row>
      <xdr:rowOff>114300</xdr:rowOff>
    </xdr:to>
    <xdr:sp macro="" textlink="">
      <xdr:nvSpPr>
        <xdr:cNvPr id="9814" name="Line 1"/>
        <xdr:cNvSpPr>
          <a:spLocks noChangeShapeType="1"/>
        </xdr:cNvSpPr>
      </xdr:nvSpPr>
      <xdr:spPr bwMode="auto">
        <a:xfrm>
          <a:off x="2028825" y="13582650"/>
          <a:ext cx="0" cy="0"/>
        </a:xfrm>
        <a:prstGeom prst="line">
          <a:avLst/>
        </a:prstGeom>
        <a:noFill/>
        <a:ln w="9525">
          <a:solidFill>
            <a:srgbClr val="000000"/>
          </a:solidFill>
          <a:round/>
          <a:headEnd/>
          <a:tailEnd type="triangle" w="med" len="med"/>
        </a:ln>
      </xdr:spPr>
    </xdr:sp>
    <xdr:clientData/>
  </xdr:twoCellAnchor>
  <xdr:twoCellAnchor>
    <xdr:from>
      <xdr:col>2</xdr:col>
      <xdr:colOff>0</xdr:colOff>
      <xdr:row>83</xdr:row>
      <xdr:rowOff>114300</xdr:rowOff>
    </xdr:from>
    <xdr:to>
      <xdr:col>2</xdr:col>
      <xdr:colOff>0</xdr:colOff>
      <xdr:row>83</xdr:row>
      <xdr:rowOff>114300</xdr:rowOff>
    </xdr:to>
    <xdr:sp macro="" textlink="">
      <xdr:nvSpPr>
        <xdr:cNvPr id="9815" name="Line 2"/>
        <xdr:cNvSpPr>
          <a:spLocks noChangeShapeType="1"/>
        </xdr:cNvSpPr>
      </xdr:nvSpPr>
      <xdr:spPr bwMode="auto">
        <a:xfrm>
          <a:off x="2028825" y="13744575"/>
          <a:ext cx="0" cy="0"/>
        </a:xfrm>
        <a:prstGeom prst="line">
          <a:avLst/>
        </a:prstGeom>
        <a:noFill/>
        <a:ln w="9525">
          <a:solidFill>
            <a:srgbClr val="000000"/>
          </a:solidFill>
          <a:round/>
          <a:headEnd/>
          <a:tailEnd/>
        </a:ln>
      </xdr:spPr>
    </xdr:sp>
    <xdr:clientData/>
  </xdr:twoCellAnchor>
  <xdr:twoCellAnchor>
    <xdr:from>
      <xdr:col>16</xdr:col>
      <xdr:colOff>0</xdr:colOff>
      <xdr:row>10</xdr:row>
      <xdr:rowOff>0</xdr:rowOff>
    </xdr:from>
    <xdr:to>
      <xdr:col>16</xdr:col>
      <xdr:colOff>0</xdr:colOff>
      <xdr:row>10</xdr:row>
      <xdr:rowOff>0</xdr:rowOff>
    </xdr:to>
    <xdr:sp macro="" textlink="">
      <xdr:nvSpPr>
        <xdr:cNvPr id="9816" name="Line 3"/>
        <xdr:cNvSpPr>
          <a:spLocks noChangeShapeType="1"/>
        </xdr:cNvSpPr>
      </xdr:nvSpPr>
      <xdr:spPr bwMode="auto">
        <a:xfrm>
          <a:off x="12630150" y="1809750"/>
          <a:ext cx="0" cy="0"/>
        </a:xfrm>
        <a:prstGeom prst="line">
          <a:avLst/>
        </a:prstGeom>
        <a:noFill/>
        <a:ln w="9525">
          <a:solidFill>
            <a:srgbClr val="000000"/>
          </a:solidFill>
          <a:round/>
          <a:headEnd/>
          <a:tailEnd/>
        </a:ln>
      </xdr:spPr>
    </xdr:sp>
    <xdr:clientData/>
  </xdr:twoCellAnchor>
  <xdr:twoCellAnchor>
    <xdr:from>
      <xdr:col>17</xdr:col>
      <xdr:colOff>0</xdr:colOff>
      <xdr:row>19</xdr:row>
      <xdr:rowOff>104775</xdr:rowOff>
    </xdr:from>
    <xdr:to>
      <xdr:col>17</xdr:col>
      <xdr:colOff>0</xdr:colOff>
      <xdr:row>19</xdr:row>
      <xdr:rowOff>104775</xdr:rowOff>
    </xdr:to>
    <xdr:sp macro="" textlink="">
      <xdr:nvSpPr>
        <xdr:cNvPr id="9817" name="Line 4"/>
        <xdr:cNvSpPr>
          <a:spLocks noChangeShapeType="1"/>
        </xdr:cNvSpPr>
      </xdr:nvSpPr>
      <xdr:spPr bwMode="auto">
        <a:xfrm>
          <a:off x="13239750" y="3371850"/>
          <a:ext cx="0" cy="0"/>
        </a:xfrm>
        <a:prstGeom prst="line">
          <a:avLst/>
        </a:prstGeom>
        <a:noFill/>
        <a:ln w="9525">
          <a:solidFill>
            <a:srgbClr val="000000"/>
          </a:solidFill>
          <a:round/>
          <a:headEnd/>
          <a:tailEnd type="triangle" w="med" len="med"/>
        </a:ln>
      </xdr:spPr>
    </xdr:sp>
    <xdr:clientData/>
  </xdr:twoCellAnchor>
  <xdr:twoCellAnchor>
    <xdr:from>
      <xdr:col>17</xdr:col>
      <xdr:colOff>0</xdr:colOff>
      <xdr:row>19</xdr:row>
      <xdr:rowOff>104775</xdr:rowOff>
    </xdr:from>
    <xdr:to>
      <xdr:col>17</xdr:col>
      <xdr:colOff>0</xdr:colOff>
      <xdr:row>19</xdr:row>
      <xdr:rowOff>104775</xdr:rowOff>
    </xdr:to>
    <xdr:sp macro="" textlink="">
      <xdr:nvSpPr>
        <xdr:cNvPr id="9818" name="Line 5"/>
        <xdr:cNvSpPr>
          <a:spLocks noChangeShapeType="1"/>
        </xdr:cNvSpPr>
      </xdr:nvSpPr>
      <xdr:spPr bwMode="auto">
        <a:xfrm>
          <a:off x="13239750" y="3371850"/>
          <a:ext cx="0" cy="0"/>
        </a:xfrm>
        <a:prstGeom prst="line">
          <a:avLst/>
        </a:prstGeom>
        <a:noFill/>
        <a:ln w="9525">
          <a:solidFill>
            <a:srgbClr val="000000"/>
          </a:solidFill>
          <a:round/>
          <a:headEnd/>
          <a:tailEnd/>
        </a:ln>
      </xdr:spPr>
    </xdr:sp>
    <xdr:clientData/>
  </xdr:twoCellAnchor>
  <xdr:twoCellAnchor>
    <xdr:from>
      <xdr:col>2</xdr:col>
      <xdr:colOff>47625</xdr:colOff>
      <xdr:row>24</xdr:row>
      <xdr:rowOff>123825</xdr:rowOff>
    </xdr:from>
    <xdr:to>
      <xdr:col>10</xdr:col>
      <xdr:colOff>257175</xdr:colOff>
      <xdr:row>46</xdr:row>
      <xdr:rowOff>123825</xdr:rowOff>
    </xdr:to>
    <xdr:graphicFrame macro="">
      <xdr:nvGraphicFramePr>
        <xdr:cNvPr id="9819"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9525</xdr:colOff>
      <xdr:row>62</xdr:row>
      <xdr:rowOff>0</xdr:rowOff>
    </xdr:from>
    <xdr:to>
      <xdr:col>10</xdr:col>
      <xdr:colOff>238125</xdr:colOff>
      <xdr:row>84</xdr:row>
      <xdr:rowOff>0</xdr:rowOff>
    </xdr:to>
    <xdr:graphicFrame macro="">
      <xdr:nvGraphicFramePr>
        <xdr:cNvPr id="9820"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Blad1">
    <pageSetUpPr fitToPage="1"/>
  </sheetPr>
  <dimension ref="A2:R55"/>
  <sheetViews>
    <sheetView workbookViewId="0"/>
  </sheetViews>
  <sheetFormatPr defaultRowHeight="15"/>
  <cols>
    <col min="1" max="1" width="6.5703125" style="278" customWidth="1"/>
    <col min="2" max="2" width="105.28515625" style="277" customWidth="1"/>
    <col min="3" max="16384" width="9.140625" style="278"/>
  </cols>
  <sheetData>
    <row r="2" spans="2:18" ht="18.75">
      <c r="B2" s="276" t="s">
        <v>359</v>
      </c>
    </row>
    <row r="4" spans="2:18" ht="61.5" customHeight="1">
      <c r="B4" s="277" t="s">
        <v>376</v>
      </c>
      <c r="C4" s="277"/>
      <c r="D4" s="277"/>
      <c r="E4" s="277"/>
      <c r="F4" s="277"/>
      <c r="G4" s="277"/>
      <c r="H4" s="277"/>
      <c r="I4" s="277"/>
      <c r="J4" s="277"/>
      <c r="K4" s="277"/>
      <c r="L4" s="277"/>
      <c r="M4" s="277"/>
      <c r="N4" s="277"/>
      <c r="O4" s="277"/>
      <c r="P4" s="277"/>
      <c r="Q4" s="277"/>
      <c r="R4" s="277"/>
    </row>
    <row r="5" spans="2:18">
      <c r="B5" s="283" t="s">
        <v>7</v>
      </c>
    </row>
    <row r="6" spans="2:18">
      <c r="B6" s="283" t="s">
        <v>8</v>
      </c>
    </row>
    <row r="7" spans="2:18" ht="30">
      <c r="B7" s="346" t="s">
        <v>360</v>
      </c>
    </row>
    <row r="8" spans="2:18" ht="9.75" customHeight="1"/>
    <row r="9" spans="2:18" ht="75">
      <c r="B9" s="277" t="s">
        <v>375</v>
      </c>
    </row>
    <row r="10" spans="2:18" ht="9.75" customHeight="1"/>
    <row r="11" spans="2:18" ht="60">
      <c r="B11" s="277" t="s">
        <v>377</v>
      </c>
    </row>
    <row r="12" spans="2:18" ht="9.75" customHeight="1"/>
    <row r="13" spans="2:18" ht="30">
      <c r="B13" s="277" t="s">
        <v>378</v>
      </c>
    </row>
    <row r="15" spans="2:18">
      <c r="B15" s="279" t="s">
        <v>329</v>
      </c>
    </row>
    <row r="16" spans="2:18">
      <c r="B16" s="282"/>
    </row>
    <row r="17" spans="1:2">
      <c r="B17" s="282" t="s">
        <v>332</v>
      </c>
    </row>
    <row r="18" spans="1:2" ht="135">
      <c r="B18" s="277" t="s">
        <v>331</v>
      </c>
    </row>
    <row r="20" spans="1:2">
      <c r="B20" s="282" t="s">
        <v>333</v>
      </c>
    </row>
    <row r="21" spans="1:2">
      <c r="B21" s="277" t="s">
        <v>330</v>
      </c>
    </row>
    <row r="22" spans="1:2" ht="9.75" customHeight="1">
      <c r="A22" s="275"/>
    </row>
    <row r="23" spans="1:2" ht="45" customHeight="1">
      <c r="A23" s="275"/>
      <c r="B23" s="277" t="s">
        <v>334</v>
      </c>
    </row>
    <row r="24" spans="1:2" ht="9.75" customHeight="1">
      <c r="A24" s="275"/>
    </row>
    <row r="25" spans="1:2" ht="45">
      <c r="A25" s="275"/>
      <c r="B25" s="277" t="s">
        <v>335</v>
      </c>
    </row>
    <row r="26" spans="1:2" ht="9.75" customHeight="1">
      <c r="A26" s="275"/>
    </row>
    <row r="27" spans="1:2" ht="45">
      <c r="A27" s="275"/>
      <c r="B27" s="277" t="s">
        <v>336</v>
      </c>
    </row>
    <row r="29" spans="1:2">
      <c r="B29" s="280" t="s">
        <v>328</v>
      </c>
    </row>
    <row r="31" spans="1:2">
      <c r="B31" s="282" t="s">
        <v>332</v>
      </c>
    </row>
    <row r="32" spans="1:2" ht="105">
      <c r="B32" s="277" t="s">
        <v>361</v>
      </c>
    </row>
    <row r="34" spans="1:2">
      <c r="B34" s="282" t="s">
        <v>333</v>
      </c>
    </row>
    <row r="35" spans="1:2" ht="45">
      <c r="B35" s="277" t="s">
        <v>2</v>
      </c>
    </row>
    <row r="36" spans="1:2" ht="9.75" customHeight="1"/>
    <row r="37" spans="1:2" ht="60">
      <c r="A37" s="275"/>
      <c r="B37" s="277" t="s">
        <v>362</v>
      </c>
    </row>
    <row r="38" spans="1:2" ht="9.75" customHeight="1">
      <c r="A38" s="275"/>
    </row>
    <row r="39" spans="1:2" ht="75">
      <c r="A39" s="275"/>
      <c r="B39" s="277" t="s">
        <v>363</v>
      </c>
    </row>
    <row r="40" spans="1:2" ht="9.75" customHeight="1">
      <c r="A40" s="275"/>
    </row>
    <row r="41" spans="1:2">
      <c r="A41" s="275"/>
      <c r="B41" s="277" t="s">
        <v>3</v>
      </c>
    </row>
    <row r="43" spans="1:2">
      <c r="B43" s="281" t="s">
        <v>327</v>
      </c>
    </row>
    <row r="45" spans="1:2">
      <c r="B45" s="282" t="s">
        <v>332</v>
      </c>
    </row>
    <row r="46" spans="1:2" ht="30">
      <c r="B46" s="277" t="s">
        <v>4</v>
      </c>
    </row>
    <row r="48" spans="1:2">
      <c r="B48" s="282" t="s">
        <v>333</v>
      </c>
    </row>
    <row r="49" spans="1:2" ht="75">
      <c r="A49" s="275"/>
      <c r="B49" s="277" t="s">
        <v>9</v>
      </c>
    </row>
    <row r="50" spans="1:2" ht="9.75" customHeight="1">
      <c r="A50" s="275"/>
    </row>
    <row r="51" spans="1:2" ht="45">
      <c r="A51" s="275"/>
      <c r="B51" s="277" t="s">
        <v>5</v>
      </c>
    </row>
    <row r="52" spans="1:2" ht="9.75" customHeight="1">
      <c r="A52" s="275"/>
    </row>
    <row r="53" spans="1:2" ht="45">
      <c r="A53" s="275"/>
      <c r="B53" s="277" t="s">
        <v>6</v>
      </c>
    </row>
    <row r="54" spans="1:2" ht="9.75" customHeight="1">
      <c r="A54" s="275"/>
    </row>
    <row r="55" spans="1:2" ht="90">
      <c r="A55" s="275"/>
      <c r="B55" s="277" t="s">
        <v>10</v>
      </c>
    </row>
  </sheetData>
  <phoneticPr fontId="2" type="noConversion"/>
  <pageMargins left="0.75" right="0.75" top="1" bottom="1" header="0.5" footer="0.5"/>
  <pageSetup paperSize="9" scale="90" fitToHeight="2" orientation="portrait" r:id="rId1"/>
  <headerFooter alignWithMargins="0"/>
</worksheet>
</file>

<file path=xl/worksheets/sheet2.xml><?xml version="1.0" encoding="utf-8"?>
<worksheet xmlns="http://schemas.openxmlformats.org/spreadsheetml/2006/main" xmlns:r="http://schemas.openxmlformats.org/officeDocument/2006/relationships">
  <sheetPr codeName="Blad2"/>
  <dimension ref="B2:AM154"/>
  <sheetViews>
    <sheetView tabSelected="1" zoomScale="90" zoomScaleNormal="90" workbookViewId="0"/>
  </sheetViews>
  <sheetFormatPr defaultRowHeight="12.75"/>
  <cols>
    <col min="1" max="1" width="9.140625" style="197"/>
    <col min="2" max="2" width="21.28515625" style="197" customWidth="1"/>
    <col min="3" max="3" width="28.140625" style="197" bestFit="1" customWidth="1"/>
    <col min="4" max="4" width="13.28515625" style="197" customWidth="1"/>
    <col min="5" max="5" width="11.85546875" style="197" customWidth="1"/>
    <col min="6" max="7" width="9.140625" style="197"/>
    <col min="8" max="8" width="10.28515625" style="197" customWidth="1"/>
    <col min="9" max="10" width="9.140625" style="197"/>
    <col min="11" max="11" width="19.7109375" style="197" customWidth="1"/>
    <col min="12" max="12" width="11.5703125" style="197" bestFit="1" customWidth="1"/>
    <col min="13" max="13" width="4.7109375" style="197" customWidth="1"/>
    <col min="14" max="14" width="7" style="197" bestFit="1" customWidth="1"/>
    <col min="15" max="15" width="6.7109375" style="197" customWidth="1"/>
    <col min="16" max="24" width="9.140625" style="197"/>
    <col min="25" max="25" width="16.140625" style="197" customWidth="1"/>
    <col min="26" max="31" width="9.140625" style="197"/>
    <col min="32" max="32" width="20.7109375" style="197" customWidth="1"/>
    <col min="33" max="33" width="21.42578125" style="197" bestFit="1" customWidth="1"/>
    <col min="34" max="34" width="14.42578125" style="197" bestFit="1" customWidth="1"/>
    <col min="35" max="16384" width="9.140625" style="197"/>
  </cols>
  <sheetData>
    <row r="2" spans="2:39" ht="23.25">
      <c r="B2" s="170" t="s">
        <v>358</v>
      </c>
      <c r="J2" s="210"/>
    </row>
    <row r="5" spans="2:39" ht="15.75">
      <c r="B5" s="243" t="s">
        <v>296</v>
      </c>
      <c r="C5" s="171"/>
      <c r="D5" s="171"/>
      <c r="E5" s="171"/>
      <c r="F5" s="171"/>
      <c r="G5" s="171"/>
      <c r="H5" s="171"/>
      <c r="I5" s="171"/>
      <c r="J5" s="171"/>
      <c r="K5" s="171"/>
      <c r="L5" s="171"/>
      <c r="M5" s="171"/>
      <c r="N5" s="171"/>
      <c r="O5" s="198"/>
    </row>
    <row r="7" spans="2:39">
      <c r="B7" s="182"/>
      <c r="C7" s="180" t="s">
        <v>234</v>
      </c>
      <c r="D7" s="182"/>
      <c r="E7" s="270" t="s">
        <v>236</v>
      </c>
      <c r="O7" s="199"/>
    </row>
    <row r="8" spans="2:39">
      <c r="B8" s="180" t="s">
        <v>31</v>
      </c>
      <c r="C8" s="257">
        <v>75</v>
      </c>
      <c r="D8" s="271" t="s">
        <v>239</v>
      </c>
      <c r="E8" s="270">
        <v>80</v>
      </c>
      <c r="O8" s="199"/>
    </row>
    <row r="9" spans="2:39" ht="14.25">
      <c r="B9" s="180" t="s">
        <v>240</v>
      </c>
      <c r="C9" s="257">
        <v>5</v>
      </c>
      <c r="D9" s="271" t="s">
        <v>282</v>
      </c>
      <c r="E9" s="270">
        <v>1.6</v>
      </c>
      <c r="O9" s="201"/>
    </row>
    <row r="10" spans="2:39">
      <c r="B10" s="180"/>
      <c r="C10" s="272"/>
      <c r="D10" s="272"/>
      <c r="E10" s="182"/>
      <c r="O10" s="201"/>
    </row>
    <row r="13" spans="2:39">
      <c r="B13" s="427">
        <v>1</v>
      </c>
      <c r="C13" s="171" t="s">
        <v>306</v>
      </c>
      <c r="D13" s="173"/>
      <c r="E13" s="173"/>
      <c r="F13" s="173"/>
      <c r="G13" s="173"/>
      <c r="H13" s="173"/>
      <c r="I13" s="173"/>
      <c r="J13" s="173"/>
      <c r="K13" s="173"/>
      <c r="L13" s="173"/>
      <c r="M13" s="173"/>
      <c r="N13" s="173"/>
      <c r="T13" s="196"/>
      <c r="U13" s="196"/>
      <c r="V13" s="196"/>
      <c r="W13" s="196"/>
      <c r="X13" s="196"/>
      <c r="Y13" s="196"/>
      <c r="Z13" s="196"/>
      <c r="AA13" s="196"/>
      <c r="AB13" s="196"/>
      <c r="AC13" s="196"/>
      <c r="AD13" s="196"/>
      <c r="AE13" s="196"/>
      <c r="AF13" s="196"/>
      <c r="AG13" s="196"/>
      <c r="AH13" s="196"/>
      <c r="AI13" s="196"/>
      <c r="AM13" s="196"/>
    </row>
    <row r="14" spans="2:39">
      <c r="B14" s="427"/>
      <c r="C14" s="198"/>
      <c r="T14" s="196"/>
      <c r="U14" s="196"/>
      <c r="V14" s="196"/>
      <c r="W14" s="196"/>
      <c r="X14" s="196"/>
      <c r="Y14" s="196"/>
      <c r="Z14" s="196"/>
      <c r="AA14" s="196"/>
      <c r="AB14" s="196"/>
      <c r="AC14" s="196"/>
      <c r="AD14" s="196"/>
      <c r="AE14" s="196"/>
      <c r="AF14" s="196"/>
      <c r="AG14" s="196"/>
      <c r="AH14" s="196"/>
      <c r="AI14" s="196"/>
      <c r="AM14" s="196"/>
    </row>
    <row r="15" spans="2:39">
      <c r="B15" s="427"/>
      <c r="C15" s="196"/>
      <c r="D15" s="196"/>
      <c r="E15" s="196"/>
      <c r="F15" s="196"/>
      <c r="G15" s="196"/>
      <c r="H15" s="196"/>
      <c r="I15" s="196"/>
      <c r="J15" s="196"/>
      <c r="K15" s="196"/>
      <c r="L15" s="196"/>
      <c r="M15" s="196"/>
      <c r="N15" s="196"/>
      <c r="R15" s="196"/>
    </row>
    <row r="16" spans="2:39" ht="12.75" customHeight="1">
      <c r="B16" s="212"/>
      <c r="C16" s="304"/>
      <c r="D16" s="252" t="s">
        <v>300</v>
      </c>
      <c r="E16" s="199"/>
      <c r="F16" s="199"/>
      <c r="G16" s="199"/>
      <c r="H16" s="199"/>
      <c r="I16" s="196"/>
      <c r="J16" s="196"/>
      <c r="K16" s="179" t="s">
        <v>241</v>
      </c>
      <c r="L16" s="184" t="s">
        <v>294</v>
      </c>
      <c r="M16" s="246">
        <f>C8</f>
        <v>75</v>
      </c>
      <c r="N16" s="182" t="s">
        <v>239</v>
      </c>
      <c r="Q16" s="196"/>
    </row>
    <row r="17" spans="3:17">
      <c r="C17" s="198"/>
      <c r="D17" s="206">
        <v>2.5</v>
      </c>
      <c r="E17" s="206">
        <v>5.0999999999999996</v>
      </c>
      <c r="F17" s="206">
        <v>26</v>
      </c>
      <c r="G17" s="206">
        <v>76</v>
      </c>
      <c r="H17" s="206">
        <v>200</v>
      </c>
      <c r="I17" s="196"/>
      <c r="J17" s="196"/>
      <c r="K17" s="179"/>
      <c r="L17" s="179"/>
      <c r="M17" s="179"/>
      <c r="N17" s="182"/>
      <c r="Q17" s="196"/>
    </row>
    <row r="18" spans="3:17">
      <c r="C18" s="223" t="s">
        <v>356</v>
      </c>
      <c r="D18" s="251" t="s">
        <v>34</v>
      </c>
      <c r="E18" s="247" t="s">
        <v>35</v>
      </c>
      <c r="F18" s="247" t="s">
        <v>36</v>
      </c>
      <c r="G18" s="247" t="s">
        <v>37</v>
      </c>
      <c r="H18" s="247" t="s">
        <v>38</v>
      </c>
      <c r="K18" s="180"/>
      <c r="L18" s="180" t="s">
        <v>242</v>
      </c>
      <c r="M18" s="182"/>
      <c r="N18" s="182"/>
    </row>
    <row r="19" spans="3:17">
      <c r="C19" s="196" t="s">
        <v>32</v>
      </c>
      <c r="D19" s="203">
        <v>0.18055555555555555</v>
      </c>
      <c r="E19" s="176">
        <v>0.10526315789473684</v>
      </c>
      <c r="F19" s="248">
        <v>9.9236641221374045E-2</v>
      </c>
      <c r="G19" s="176">
        <v>0.13513513513513514</v>
      </c>
      <c r="H19" s="176">
        <v>0.26046511627906976</v>
      </c>
      <c r="K19" s="181" t="str">
        <f>C19</f>
        <v>radiaal</v>
      </c>
      <c r="L19" s="181">
        <f>HLOOKUP($C$8,$D$17:$H$22,3,TRUE)</f>
        <v>9.9236641221374045E-2</v>
      </c>
      <c r="M19" s="182"/>
      <c r="N19" s="182"/>
    </row>
    <row r="20" spans="3:17">
      <c r="C20" s="196" t="s">
        <v>33</v>
      </c>
      <c r="D20" s="203">
        <v>2.7777777777777776E-2</v>
      </c>
      <c r="E20" s="176">
        <v>4.0935672514619881E-2</v>
      </c>
      <c r="F20" s="248">
        <v>2.2900763358778626E-2</v>
      </c>
      <c r="G20" s="176">
        <v>9.45945945945946E-2</v>
      </c>
      <c r="H20" s="176">
        <v>0.17674418604651163</v>
      </c>
      <c r="K20" s="181" t="str">
        <f>C20</f>
        <v>half-axiaal</v>
      </c>
      <c r="L20" s="181">
        <f>HLOOKUP($C$8,$D$17:$H$22,4,TRUE)</f>
        <v>2.2900763358778626E-2</v>
      </c>
      <c r="M20" s="182"/>
      <c r="N20" s="182"/>
    </row>
    <row r="21" spans="3:17">
      <c r="C21" s="196" t="s">
        <v>19</v>
      </c>
      <c r="D21" s="203">
        <v>0.65972222222222221</v>
      </c>
      <c r="E21" s="176">
        <v>0.56140350877192979</v>
      </c>
      <c r="F21" s="248">
        <v>0.48854961832061067</v>
      </c>
      <c r="G21" s="176">
        <v>0.43243243243243246</v>
      </c>
      <c r="H21" s="176">
        <v>0.44651162790697674</v>
      </c>
      <c r="I21" s="196"/>
      <c r="J21" s="196"/>
      <c r="K21" s="181" t="str">
        <f>C21</f>
        <v>axiaal</v>
      </c>
      <c r="L21" s="181">
        <f>HLOOKUP($C$8,$D$17:$H$22,5,TRUE)</f>
        <v>0.48854961832061067</v>
      </c>
      <c r="M21" s="182"/>
      <c r="N21" s="182"/>
      <c r="O21" s="196"/>
      <c r="P21" s="196"/>
      <c r="Q21" s="196"/>
    </row>
    <row r="22" spans="3:17">
      <c r="C22" s="196" t="s">
        <v>20</v>
      </c>
      <c r="D22" s="203">
        <v>0.13194444444444445</v>
      </c>
      <c r="E22" s="176">
        <v>0.29239766081871343</v>
      </c>
      <c r="F22" s="248">
        <v>0.38931297709923662</v>
      </c>
      <c r="G22" s="176">
        <v>0.33783783783783783</v>
      </c>
      <c r="H22" s="176">
        <v>0.11627906976744186</v>
      </c>
      <c r="I22" s="196"/>
      <c r="J22" s="196"/>
      <c r="K22" s="181" t="str">
        <f>C22</f>
        <v>vijzel</v>
      </c>
      <c r="L22" s="181">
        <f>HLOOKUP($C$8,$D$17:$H$22,6,TRUE)</f>
        <v>0.38931297709923662</v>
      </c>
      <c r="M22" s="182"/>
      <c r="N22" s="182"/>
      <c r="O22" s="196"/>
      <c r="P22" s="196"/>
      <c r="Q22" s="196"/>
    </row>
    <row r="23" spans="3:17">
      <c r="C23" s="196"/>
      <c r="D23" s="203"/>
      <c r="E23" s="176"/>
      <c r="F23" s="176"/>
      <c r="G23" s="176"/>
      <c r="H23" s="176"/>
      <c r="I23" s="196"/>
      <c r="J23" s="196"/>
      <c r="K23" s="181"/>
      <c r="L23" s="181"/>
      <c r="M23" s="182"/>
      <c r="N23" s="182"/>
      <c r="O23" s="196"/>
      <c r="P23" s="196"/>
      <c r="Q23" s="196"/>
    </row>
    <row r="24" spans="3:17">
      <c r="C24" s="229" t="s">
        <v>309</v>
      </c>
      <c r="D24" s="200"/>
      <c r="I24" s="196"/>
      <c r="J24" s="196"/>
      <c r="K24" s="196"/>
      <c r="L24" s="196"/>
      <c r="M24" s="196"/>
      <c r="N24" s="196"/>
      <c r="O24" s="196"/>
      <c r="P24" s="196"/>
      <c r="Q24" s="196"/>
    </row>
    <row r="25" spans="3:17">
      <c r="I25" s="196"/>
      <c r="J25" s="196"/>
      <c r="K25" s="196"/>
      <c r="L25" s="196"/>
      <c r="M25" s="196"/>
      <c r="N25" s="196"/>
      <c r="O25" s="196"/>
      <c r="P25" s="196"/>
      <c r="Q25" s="196"/>
    </row>
    <row r="29" spans="3:17">
      <c r="I29" s="177"/>
    </row>
    <row r="36" spans="9:17">
      <c r="M36" s="196"/>
      <c r="N36" s="196"/>
      <c r="O36" s="196"/>
      <c r="P36" s="196"/>
      <c r="Q36" s="196"/>
    </row>
    <row r="37" spans="9:17">
      <c r="I37" s="196"/>
      <c r="J37" s="196"/>
      <c r="K37" s="196"/>
      <c r="L37" s="196"/>
      <c r="M37" s="196"/>
      <c r="N37" s="196"/>
      <c r="O37" s="196"/>
      <c r="P37" s="196"/>
      <c r="Q37" s="196"/>
    </row>
    <row r="38" spans="9:17">
      <c r="I38" s="196"/>
      <c r="J38" s="196"/>
      <c r="K38" s="196"/>
      <c r="L38" s="196"/>
      <c r="M38" s="196"/>
      <c r="N38" s="196"/>
      <c r="O38" s="196"/>
      <c r="P38" s="196"/>
      <c r="Q38" s="196"/>
    </row>
    <row r="39" spans="9:17">
      <c r="I39" s="196"/>
      <c r="J39" s="196"/>
      <c r="K39" s="196"/>
      <c r="L39" s="196"/>
      <c r="M39" s="196"/>
      <c r="N39" s="196"/>
      <c r="O39" s="196"/>
      <c r="P39" s="196"/>
      <c r="Q39" s="196"/>
    </row>
    <row r="40" spans="9:17">
      <c r="I40" s="196"/>
      <c r="J40" s="201"/>
      <c r="K40" s="196"/>
      <c r="L40" s="196"/>
      <c r="M40" s="196"/>
      <c r="N40" s="196"/>
      <c r="O40" s="196"/>
      <c r="P40" s="196"/>
      <c r="Q40" s="196"/>
    </row>
    <row r="50" spans="2:39">
      <c r="B50" s="427">
        <v>2</v>
      </c>
      <c r="C50" s="171" t="s">
        <v>307</v>
      </c>
      <c r="D50" s="173"/>
      <c r="E50" s="173"/>
      <c r="F50" s="173"/>
      <c r="G50" s="173"/>
      <c r="H50" s="173"/>
      <c r="I50" s="173"/>
      <c r="J50" s="173"/>
      <c r="K50" s="173"/>
      <c r="L50" s="173"/>
      <c r="M50" s="173"/>
      <c r="N50" s="173"/>
      <c r="T50" s="196"/>
      <c r="U50" s="196"/>
      <c r="V50" s="196"/>
      <c r="W50" s="196"/>
      <c r="X50" s="196"/>
      <c r="Y50" s="196"/>
      <c r="Z50" s="196"/>
    </row>
    <row r="51" spans="2:39">
      <c r="B51" s="428"/>
      <c r="AA51" s="196"/>
      <c r="AB51" s="196"/>
      <c r="AC51" s="196"/>
      <c r="AD51" s="196"/>
      <c r="AE51" s="196"/>
      <c r="AF51" s="196"/>
      <c r="AG51" s="196"/>
      <c r="AH51" s="196"/>
      <c r="AI51" s="196"/>
      <c r="AJ51" s="228"/>
      <c r="AK51" s="222"/>
      <c r="AM51" s="196"/>
    </row>
    <row r="52" spans="2:39">
      <c r="B52" s="428"/>
      <c r="C52" s="196"/>
      <c r="D52" s="196"/>
      <c r="E52" s="196"/>
      <c r="F52" s="196"/>
      <c r="G52" s="196"/>
      <c r="H52" s="196"/>
      <c r="I52" s="196"/>
      <c r="J52" s="196"/>
      <c r="K52" s="196"/>
      <c r="L52" s="196"/>
      <c r="M52" s="196"/>
      <c r="Q52" s="196"/>
    </row>
    <row r="53" spans="2:39" ht="12.75" customHeight="1">
      <c r="B53" s="212"/>
      <c r="C53" s="304"/>
      <c r="D53" s="252" t="s">
        <v>300</v>
      </c>
      <c r="K53" s="179" t="s">
        <v>298</v>
      </c>
      <c r="L53" s="184" t="s">
        <v>294</v>
      </c>
      <c r="M53" s="256">
        <f>C9</f>
        <v>5</v>
      </c>
      <c r="N53" s="182" t="s">
        <v>282</v>
      </c>
    </row>
    <row r="54" spans="2:39">
      <c r="C54" s="202"/>
      <c r="D54" s="206">
        <v>1E-4</v>
      </c>
      <c r="E54" s="206">
        <v>1</v>
      </c>
      <c r="F54" s="206">
        <v>2.0099999999999998</v>
      </c>
      <c r="G54" s="206">
        <v>4.01</v>
      </c>
      <c r="H54" s="206">
        <v>6.01</v>
      </c>
      <c r="I54" s="206">
        <v>7.01</v>
      </c>
      <c r="K54" s="179"/>
      <c r="L54" s="182"/>
      <c r="M54" s="182"/>
      <c r="N54" s="182"/>
    </row>
    <row r="55" spans="2:39">
      <c r="C55" s="223" t="s">
        <v>356</v>
      </c>
      <c r="D55" s="247" t="s">
        <v>21</v>
      </c>
      <c r="E55" s="247" t="s">
        <v>22</v>
      </c>
      <c r="F55" s="247" t="s">
        <v>23</v>
      </c>
      <c r="G55" s="247" t="s">
        <v>39</v>
      </c>
      <c r="H55" s="247" t="s">
        <v>283</v>
      </c>
      <c r="I55" s="250" t="s">
        <v>284</v>
      </c>
      <c r="K55" s="180"/>
      <c r="L55" s="180" t="s">
        <v>242</v>
      </c>
      <c r="M55" s="182"/>
      <c r="N55" s="182"/>
    </row>
    <row r="56" spans="2:39">
      <c r="C56" s="197" t="str">
        <f>C19</f>
        <v>radiaal</v>
      </c>
      <c r="D56" s="248">
        <v>0.14227642276422764</v>
      </c>
      <c r="E56" s="248">
        <v>0.1497005988023952</v>
      </c>
      <c r="F56" s="248">
        <v>0.36969696969696969</v>
      </c>
      <c r="G56" s="248">
        <v>0.2857142857142857</v>
      </c>
      <c r="H56" s="248">
        <v>0.875</v>
      </c>
      <c r="I56" s="249">
        <v>1</v>
      </c>
      <c r="K56" s="181" t="str">
        <f>C56</f>
        <v>radiaal</v>
      </c>
      <c r="L56" s="181">
        <f>HLOOKUP($C$9,$D$54:$I$59,3,TRUE)</f>
        <v>0.2857142857142857</v>
      </c>
      <c r="M56" s="182"/>
      <c r="N56" s="182"/>
    </row>
    <row r="57" spans="2:39">
      <c r="C57" s="197" t="str">
        <f>C20</f>
        <v>half-axiaal</v>
      </c>
      <c r="D57" s="176">
        <v>8.130081300813009E-3</v>
      </c>
      <c r="E57" s="176">
        <v>2.0958083832335328E-2</v>
      </c>
      <c r="F57" s="176">
        <v>7.8787878787878782E-2</v>
      </c>
      <c r="G57" s="176">
        <v>0.14285714285714285</v>
      </c>
      <c r="H57" s="176">
        <v>0</v>
      </c>
      <c r="I57" s="249">
        <v>0</v>
      </c>
      <c r="K57" s="181" t="str">
        <f>C57</f>
        <v>half-axiaal</v>
      </c>
      <c r="L57" s="181">
        <f>HLOOKUP($C$9,$D$54:$I$59,4,TRUE)</f>
        <v>0.14285714285714285</v>
      </c>
      <c r="M57" s="182"/>
      <c r="N57" s="182"/>
    </row>
    <row r="58" spans="2:39">
      <c r="C58" s="197" t="str">
        <f>C21</f>
        <v>axiaal</v>
      </c>
      <c r="D58" s="176">
        <v>0.50406504065040647</v>
      </c>
      <c r="E58" s="176">
        <v>0.51497005988023947</v>
      </c>
      <c r="F58" s="176">
        <v>0.38181818181818183</v>
      </c>
      <c r="G58" s="176">
        <v>0.38775510204081631</v>
      </c>
      <c r="H58" s="176">
        <v>0</v>
      </c>
      <c r="I58" s="249">
        <v>0</v>
      </c>
      <c r="K58" s="181" t="str">
        <f>C58</f>
        <v>axiaal</v>
      </c>
      <c r="L58" s="181">
        <f>HLOOKUP($C$9,$D$54:$I$59,5,TRUE)</f>
        <v>0.38775510204081631</v>
      </c>
      <c r="M58" s="182"/>
      <c r="N58" s="182"/>
    </row>
    <row r="59" spans="2:39">
      <c r="C59" s="197" t="str">
        <f>C22</f>
        <v>vijzel</v>
      </c>
      <c r="D59" s="176">
        <v>0.34552845528455284</v>
      </c>
      <c r="E59" s="176">
        <v>0.31437125748502992</v>
      </c>
      <c r="F59" s="176">
        <v>0.16969696969696971</v>
      </c>
      <c r="G59" s="176">
        <v>0.18367346938775511</v>
      </c>
      <c r="H59" s="176">
        <v>0.125</v>
      </c>
      <c r="I59" s="249">
        <v>0</v>
      </c>
      <c r="K59" s="181" t="str">
        <f>C59</f>
        <v>vijzel</v>
      </c>
      <c r="L59" s="181">
        <f>HLOOKUP($C$9,$D$54:$I$59,6,TRUE)</f>
        <v>0.18367346938775511</v>
      </c>
      <c r="M59" s="182"/>
      <c r="N59" s="182"/>
    </row>
    <row r="60" spans="2:39">
      <c r="C60" s="199"/>
      <c r="D60" s="200"/>
      <c r="E60" s="199"/>
      <c r="F60" s="199"/>
      <c r="G60" s="199"/>
      <c r="H60" s="199"/>
      <c r="K60" s="198"/>
      <c r="L60" s="198"/>
    </row>
    <row r="61" spans="2:39">
      <c r="C61" s="229" t="s">
        <v>309</v>
      </c>
      <c r="D61" s="199"/>
      <c r="E61" s="199"/>
      <c r="F61" s="199"/>
      <c r="G61" s="199"/>
      <c r="H61" s="199"/>
    </row>
    <row r="62" spans="2:39">
      <c r="C62" s="229"/>
      <c r="D62" s="199"/>
      <c r="E62" s="199"/>
      <c r="F62" s="199"/>
      <c r="G62" s="199"/>
      <c r="H62" s="199"/>
    </row>
    <row r="63" spans="2:39">
      <c r="C63" s="199"/>
      <c r="D63" s="199"/>
      <c r="E63" s="199"/>
      <c r="F63" s="199"/>
      <c r="G63" s="199"/>
      <c r="H63" s="199"/>
    </row>
    <row r="64" spans="2:39">
      <c r="C64" s="199"/>
      <c r="D64" s="199"/>
      <c r="E64" s="199"/>
      <c r="F64" s="199"/>
      <c r="G64" s="199"/>
      <c r="H64" s="199"/>
    </row>
    <row r="65" spans="3:8">
      <c r="C65" s="199"/>
      <c r="D65" s="199"/>
      <c r="E65" s="199"/>
      <c r="F65" s="199"/>
      <c r="G65" s="199"/>
      <c r="H65" s="199"/>
    </row>
    <row r="66" spans="3:8">
      <c r="C66" s="199"/>
      <c r="D66" s="199"/>
      <c r="E66" s="199"/>
      <c r="F66" s="199"/>
      <c r="G66" s="199"/>
      <c r="H66" s="199"/>
    </row>
    <row r="67" spans="3:8">
      <c r="C67" s="199"/>
      <c r="D67" s="199"/>
      <c r="E67" s="199"/>
      <c r="F67" s="199"/>
      <c r="G67" s="199"/>
      <c r="H67" s="199"/>
    </row>
    <row r="68" spans="3:8">
      <c r="C68" s="199"/>
      <c r="D68" s="199"/>
      <c r="E68" s="199"/>
      <c r="F68" s="199"/>
      <c r="G68" s="199"/>
      <c r="H68" s="199"/>
    </row>
    <row r="69" spans="3:8">
      <c r="C69" s="199"/>
      <c r="D69" s="199"/>
      <c r="E69" s="199"/>
      <c r="F69" s="199"/>
      <c r="G69" s="199"/>
      <c r="H69" s="199"/>
    </row>
    <row r="70" spans="3:8">
      <c r="C70" s="199"/>
      <c r="D70" s="199"/>
      <c r="E70" s="199"/>
      <c r="F70" s="199"/>
      <c r="G70" s="199"/>
      <c r="H70" s="199"/>
    </row>
    <row r="71" spans="3:8">
      <c r="C71" s="199"/>
      <c r="D71" s="199"/>
      <c r="E71" s="199"/>
      <c r="F71" s="199"/>
      <c r="G71" s="199"/>
      <c r="H71" s="199"/>
    </row>
    <row r="72" spans="3:8">
      <c r="C72" s="199"/>
      <c r="D72" s="199"/>
      <c r="E72" s="199"/>
      <c r="F72" s="199"/>
      <c r="G72" s="199"/>
      <c r="H72" s="199"/>
    </row>
    <row r="73" spans="3:8">
      <c r="C73" s="199"/>
      <c r="D73" s="199"/>
      <c r="E73" s="199"/>
      <c r="F73" s="199"/>
      <c r="G73" s="199"/>
      <c r="H73" s="199"/>
    </row>
    <row r="74" spans="3:8">
      <c r="C74" s="199"/>
      <c r="D74" s="199"/>
      <c r="E74" s="199"/>
      <c r="F74" s="199"/>
      <c r="G74" s="199"/>
      <c r="H74" s="199"/>
    </row>
    <row r="75" spans="3:8">
      <c r="C75" s="199"/>
      <c r="D75" s="199"/>
      <c r="E75" s="199"/>
      <c r="F75" s="199"/>
      <c r="G75" s="199"/>
      <c r="H75" s="199"/>
    </row>
    <row r="76" spans="3:8">
      <c r="C76" s="199"/>
      <c r="D76" s="199"/>
      <c r="E76" s="199"/>
      <c r="F76" s="199"/>
      <c r="G76" s="199"/>
      <c r="H76" s="199"/>
    </row>
    <row r="77" spans="3:8">
      <c r="C77" s="199"/>
      <c r="D77" s="199"/>
      <c r="E77" s="199"/>
      <c r="F77" s="199"/>
      <c r="G77" s="199"/>
      <c r="H77" s="199"/>
    </row>
    <row r="78" spans="3:8">
      <c r="C78" s="199"/>
      <c r="D78" s="199"/>
      <c r="E78" s="199"/>
      <c r="F78" s="199"/>
      <c r="G78" s="199"/>
      <c r="H78" s="199"/>
    </row>
    <row r="79" spans="3:8">
      <c r="C79" s="199"/>
      <c r="D79" s="199"/>
      <c r="E79" s="199"/>
      <c r="F79" s="199"/>
      <c r="G79" s="199"/>
      <c r="H79" s="199"/>
    </row>
    <row r="80" spans="3:8">
      <c r="C80" s="199"/>
      <c r="D80" s="199"/>
      <c r="E80" s="199"/>
      <c r="F80" s="199"/>
      <c r="G80" s="199"/>
      <c r="H80" s="199"/>
    </row>
    <row r="81" spans="2:30">
      <c r="C81" s="199"/>
      <c r="D81" s="199"/>
      <c r="E81" s="199"/>
      <c r="F81" s="199"/>
      <c r="G81" s="199"/>
      <c r="H81" s="199"/>
    </row>
    <row r="82" spans="2:30">
      <c r="C82" s="199"/>
      <c r="D82" s="199"/>
      <c r="E82" s="199"/>
      <c r="F82" s="199"/>
      <c r="G82" s="199"/>
      <c r="H82" s="199"/>
    </row>
    <row r="83" spans="2:30">
      <c r="C83" s="199"/>
      <c r="D83" s="199"/>
      <c r="E83" s="199"/>
      <c r="F83" s="199"/>
      <c r="G83" s="199"/>
      <c r="H83" s="199"/>
    </row>
    <row r="84" spans="2:30">
      <c r="C84" s="199"/>
      <c r="D84" s="199"/>
      <c r="E84" s="199"/>
      <c r="F84" s="199"/>
      <c r="G84" s="199"/>
      <c r="H84" s="199"/>
    </row>
    <row r="85" spans="2:30">
      <c r="C85" s="199"/>
      <c r="D85" s="199"/>
      <c r="E85" s="199"/>
      <c r="F85" s="199"/>
      <c r="G85" s="199"/>
      <c r="H85" s="199"/>
    </row>
    <row r="86" spans="2:30">
      <c r="AA86" s="199"/>
      <c r="AB86" s="199"/>
      <c r="AC86" s="199"/>
      <c r="AD86" s="199"/>
    </row>
    <row r="87" spans="2:30">
      <c r="B87" s="429">
        <v>3</v>
      </c>
      <c r="C87" s="171" t="s">
        <v>308</v>
      </c>
      <c r="D87" s="173"/>
      <c r="E87" s="173"/>
      <c r="F87" s="173"/>
      <c r="G87" s="173"/>
      <c r="H87" s="173"/>
      <c r="I87" s="173"/>
      <c r="J87" s="173"/>
      <c r="K87" s="173"/>
      <c r="L87" s="173"/>
      <c r="M87" s="173"/>
      <c r="N87" s="173"/>
    </row>
    <row r="88" spans="2:30">
      <c r="B88" s="430"/>
    </row>
    <row r="89" spans="2:30">
      <c r="B89" s="430"/>
    </row>
    <row r="90" spans="2:30" ht="12.75" customHeight="1">
      <c r="B90" s="212"/>
      <c r="C90" s="180" t="s">
        <v>17</v>
      </c>
      <c r="D90" s="187">
        <v>1</v>
      </c>
      <c r="E90" s="187">
        <v>1</v>
      </c>
      <c r="F90" s="187"/>
      <c r="G90" s="182"/>
      <c r="H90" s="187"/>
      <c r="I90" s="183"/>
      <c r="J90" s="180" t="s">
        <v>238</v>
      </c>
      <c r="K90" s="179"/>
      <c r="L90" s="182"/>
      <c r="M90" s="182"/>
    </row>
    <row r="91" spans="2:30" ht="12.75" customHeight="1">
      <c r="B91" s="212"/>
      <c r="C91" s="180"/>
      <c r="D91" s="187"/>
      <c r="E91" s="187"/>
      <c r="F91" s="187"/>
      <c r="G91" s="182"/>
      <c r="H91" s="187"/>
      <c r="I91" s="183"/>
      <c r="J91" s="180"/>
      <c r="K91" s="179"/>
      <c r="L91" s="182"/>
      <c r="M91" s="182"/>
    </row>
    <row r="92" spans="2:30">
      <c r="C92" s="234" t="s">
        <v>252</v>
      </c>
      <c r="D92" s="253" t="s">
        <v>243</v>
      </c>
      <c r="E92" s="253" t="s">
        <v>255</v>
      </c>
      <c r="F92" s="253" t="s">
        <v>253</v>
      </c>
      <c r="G92" s="255" t="s">
        <v>268</v>
      </c>
      <c r="H92" s="235"/>
      <c r="I92" s="183"/>
      <c r="J92" s="231" t="s">
        <v>40</v>
      </c>
      <c r="K92" s="232" t="s">
        <v>41</v>
      </c>
      <c r="L92" s="233" t="s">
        <v>251</v>
      </c>
      <c r="M92" s="182"/>
    </row>
    <row r="93" spans="2:30">
      <c r="C93" s="179" t="str">
        <f>H93</f>
        <v>radiaal</v>
      </c>
      <c r="D93" s="185">
        <f>L19</f>
        <v>9.9236641221374045E-2</v>
      </c>
      <c r="E93" s="185">
        <f>L56</f>
        <v>0.2857142857142857</v>
      </c>
      <c r="F93" s="185">
        <f>D93+E93</f>
        <v>0.38495092693565974</v>
      </c>
      <c r="G93" s="254">
        <f>F93/MAX($F$93:$F$96)</f>
        <v>0.4392888888888889</v>
      </c>
      <c r="H93" s="188" t="str">
        <f>C19</f>
        <v>radiaal</v>
      </c>
      <c r="I93" s="186"/>
      <c r="J93" s="174">
        <v>1</v>
      </c>
      <c r="K93" s="175">
        <f>LARGE($G$93:$G$96,J93)</f>
        <v>1</v>
      </c>
      <c r="L93" s="230" t="str">
        <f>VLOOKUP(K93,$G$93:$H$96,2,FALSE)</f>
        <v>axiaal</v>
      </c>
      <c r="M93" s="182"/>
    </row>
    <row r="94" spans="2:30">
      <c r="C94" s="179" t="str">
        <f>H94</f>
        <v>half-axiaal</v>
      </c>
      <c r="D94" s="185">
        <f>L20</f>
        <v>2.2900763358778626E-2</v>
      </c>
      <c r="E94" s="185">
        <f>L57</f>
        <v>0.14285714285714285</v>
      </c>
      <c r="F94" s="185">
        <f>D94+E94</f>
        <v>0.16575790621592149</v>
      </c>
      <c r="G94" s="254">
        <f>F94/MAX($F$93:$F$96)</f>
        <v>0.18915555555555558</v>
      </c>
      <c r="H94" s="188" t="str">
        <f>C20</f>
        <v>half-axiaal</v>
      </c>
      <c r="I94" s="186"/>
      <c r="J94" s="174">
        <v>2</v>
      </c>
      <c r="K94" s="175">
        <f>LARGE($G$93:$G$96,J94)</f>
        <v>0.65386666666666671</v>
      </c>
      <c r="L94" s="230" t="str">
        <f>VLOOKUP(K94,$G$93:$H$96,2,FALSE)</f>
        <v>vijzel</v>
      </c>
      <c r="M94" s="182"/>
    </row>
    <row r="95" spans="2:30">
      <c r="C95" s="179" t="str">
        <f>H95</f>
        <v>axiaal</v>
      </c>
      <c r="D95" s="185">
        <f>L21</f>
        <v>0.48854961832061067</v>
      </c>
      <c r="E95" s="185">
        <f>L58</f>
        <v>0.38775510204081631</v>
      </c>
      <c r="F95" s="185">
        <f>D95+E95</f>
        <v>0.87630472036142693</v>
      </c>
      <c r="G95" s="254">
        <f>F95/MAX($F$93:$F$96)</f>
        <v>1</v>
      </c>
      <c r="H95" s="188" t="str">
        <f>C21</f>
        <v>axiaal</v>
      </c>
      <c r="I95" s="186"/>
      <c r="J95" s="174">
        <v>3</v>
      </c>
      <c r="K95" s="175">
        <f>LARGE($G$93:$G$96,J95)</f>
        <v>0.4392888888888889</v>
      </c>
      <c r="L95" s="230" t="str">
        <f>VLOOKUP(K95,$G$93:$H$96,2,FALSE)</f>
        <v>radiaal</v>
      </c>
      <c r="M95" s="182"/>
    </row>
    <row r="96" spans="2:30">
      <c r="C96" s="179" t="str">
        <f>H96</f>
        <v>vijzel</v>
      </c>
      <c r="D96" s="185">
        <f>L22</f>
        <v>0.38931297709923662</v>
      </c>
      <c r="E96" s="185">
        <f>L59</f>
        <v>0.18367346938775511</v>
      </c>
      <c r="F96" s="185">
        <f>D96+E96</f>
        <v>0.57298644648699171</v>
      </c>
      <c r="G96" s="254">
        <f>F96/MAX($F$93:$F$96)</f>
        <v>0.65386666666666671</v>
      </c>
      <c r="H96" s="188" t="str">
        <f>C22</f>
        <v>vijzel</v>
      </c>
      <c r="I96" s="186"/>
      <c r="J96" s="174">
        <v>4</v>
      </c>
      <c r="K96" s="175">
        <f>LARGE($G$93:$G$96,J96)</f>
        <v>0.18915555555555558</v>
      </c>
      <c r="L96" s="230" t="str">
        <f>VLOOKUP(K96,$G$93:$H$96,2,FALSE)</f>
        <v>half-axiaal</v>
      </c>
      <c r="M96" s="182"/>
    </row>
    <row r="97" spans="3:13">
      <c r="C97" s="188" t="s">
        <v>11</v>
      </c>
      <c r="D97" s="188"/>
      <c r="E97" s="188"/>
      <c r="F97" s="188"/>
      <c r="G97" s="288">
        <v>9.9999999999999995E-7</v>
      </c>
      <c r="H97" s="188"/>
      <c r="I97" s="186"/>
      <c r="J97" s="174"/>
      <c r="K97" s="175"/>
      <c r="L97" s="230"/>
      <c r="M97" s="182"/>
    </row>
    <row r="98" spans="3:13">
      <c r="C98" s="182"/>
      <c r="D98" s="182"/>
      <c r="E98" s="182"/>
      <c r="F98" s="179"/>
      <c r="G98" s="205" t="s">
        <v>299</v>
      </c>
      <c r="H98" s="187"/>
      <c r="I98" s="182"/>
      <c r="J98" s="184"/>
      <c r="K98" s="185"/>
      <c r="L98" s="182"/>
      <c r="M98" s="182"/>
    </row>
    <row r="121" spans="5:5">
      <c r="E121" s="199"/>
    </row>
    <row r="122" spans="5:5">
      <c r="E122" s="199"/>
    </row>
    <row r="123" spans="5:5">
      <c r="E123" s="199"/>
    </row>
    <row r="124" spans="5:5">
      <c r="E124" s="199"/>
    </row>
    <row r="125" spans="5:5">
      <c r="E125" s="199"/>
    </row>
    <row r="126" spans="5:5">
      <c r="E126" s="199"/>
    </row>
    <row r="127" spans="5:5">
      <c r="E127" s="199"/>
    </row>
    <row r="128" spans="5:5">
      <c r="E128" s="199"/>
    </row>
    <row r="129" spans="5:6">
      <c r="E129" s="199"/>
    </row>
    <row r="130" spans="5:6">
      <c r="E130" s="199"/>
    </row>
    <row r="131" spans="5:6">
      <c r="E131" s="199"/>
    </row>
    <row r="132" spans="5:6">
      <c r="E132" s="199"/>
    </row>
    <row r="133" spans="5:6">
      <c r="E133" s="199"/>
    </row>
    <row r="134" spans="5:6">
      <c r="E134" s="199"/>
    </row>
    <row r="135" spans="5:6">
      <c r="E135" s="199"/>
    </row>
    <row r="136" spans="5:6">
      <c r="E136" s="199"/>
    </row>
    <row r="137" spans="5:6">
      <c r="E137" s="199"/>
    </row>
    <row r="138" spans="5:6">
      <c r="E138" s="199"/>
    </row>
    <row r="139" spans="5:6">
      <c r="E139" s="199"/>
    </row>
    <row r="140" spans="5:6">
      <c r="E140" s="199"/>
    </row>
    <row r="141" spans="5:6">
      <c r="E141" s="199"/>
      <c r="F141" s="199"/>
    </row>
    <row r="142" spans="5:6">
      <c r="E142" s="199"/>
      <c r="F142" s="199"/>
    </row>
    <row r="143" spans="5:6">
      <c r="E143" s="199"/>
    </row>
    <row r="144" spans="5:6">
      <c r="E144" s="199"/>
    </row>
    <row r="145" spans="5:5">
      <c r="E145" s="199"/>
    </row>
    <row r="146" spans="5:5">
      <c r="E146" s="199"/>
    </row>
    <row r="147" spans="5:5">
      <c r="E147" s="199"/>
    </row>
    <row r="148" spans="5:5">
      <c r="E148" s="199"/>
    </row>
    <row r="149" spans="5:5">
      <c r="E149" s="199"/>
    </row>
    <row r="150" spans="5:5">
      <c r="E150" s="199"/>
    </row>
    <row r="151" spans="5:5">
      <c r="E151" s="199"/>
    </row>
    <row r="152" spans="5:5">
      <c r="E152" s="199"/>
    </row>
    <row r="153" spans="5:5">
      <c r="E153" s="199"/>
    </row>
    <row r="154" spans="5:5">
      <c r="E154" s="199"/>
    </row>
  </sheetData>
  <mergeCells count="3">
    <mergeCell ref="B13:B15"/>
    <mergeCell ref="B50:B52"/>
    <mergeCell ref="B87:B89"/>
  </mergeCells>
  <phoneticPr fontId="2" type="noConversion"/>
  <conditionalFormatting sqref="L93:L98 AL51">
    <cfRule type="expression" dxfId="52" priority="1" stopIfTrue="1">
      <formula>$E$93&gt;0.5</formula>
    </cfRule>
  </conditionalFormatting>
  <conditionalFormatting sqref="I55:I59">
    <cfRule type="expression" dxfId="51" priority="2" stopIfTrue="1">
      <formula>IF($C$9&gt;7,1,0)</formula>
    </cfRule>
  </conditionalFormatting>
  <conditionalFormatting sqref="D55:D59">
    <cfRule type="expression" dxfId="50" priority="3" stopIfTrue="1">
      <formula>IF($C$9&lt;1,1,0)</formula>
    </cfRule>
  </conditionalFormatting>
  <conditionalFormatting sqref="E55:E59">
    <cfRule type="expression" priority="4" stopIfTrue="1">
      <formula>IF($C$9&gt;2,1,0)</formula>
    </cfRule>
    <cfRule type="expression" dxfId="49" priority="5" stopIfTrue="1">
      <formula>IF($C$9&gt;0.99,1,0)</formula>
    </cfRule>
  </conditionalFormatting>
  <conditionalFormatting sqref="F55:F59">
    <cfRule type="expression" priority="6" stopIfTrue="1">
      <formula>IF($C$9&gt;4,1,0)</formula>
    </cfRule>
    <cfRule type="expression" dxfId="48" priority="7" stopIfTrue="1">
      <formula>IF($C$9&gt;2,1,0)</formula>
    </cfRule>
  </conditionalFormatting>
  <conditionalFormatting sqref="G55:G59">
    <cfRule type="expression" priority="8" stopIfTrue="1">
      <formula>IF($C$9&gt;5.99,1,0)</formula>
    </cfRule>
    <cfRule type="expression" dxfId="47" priority="9" stopIfTrue="1">
      <formula>IF($C$9&gt;4,1,0)</formula>
    </cfRule>
  </conditionalFormatting>
  <conditionalFormatting sqref="H18:H23">
    <cfRule type="expression" dxfId="46" priority="10" stopIfTrue="1">
      <formula>IF($C$8&gt;200,1,0)</formula>
    </cfRule>
  </conditionalFormatting>
  <conditionalFormatting sqref="G18:G23">
    <cfRule type="expression" dxfId="45" priority="11" stopIfTrue="1">
      <formula>IF($C$8&gt;200,1,0)</formula>
    </cfRule>
    <cfRule type="expression" dxfId="44" priority="12" stopIfTrue="1">
      <formula>IF($C$8&gt;75,1,0)</formula>
    </cfRule>
  </conditionalFormatting>
  <conditionalFormatting sqref="F23">
    <cfRule type="expression" priority="13" stopIfTrue="1">
      <formula>IF($C$8&gt;75,1,0)</formula>
    </cfRule>
    <cfRule type="expression" dxfId="43" priority="14" stopIfTrue="1">
      <formula>IF($C$8&gt;25,1,0)</formula>
    </cfRule>
  </conditionalFormatting>
  <conditionalFormatting sqref="E18:E23">
    <cfRule type="expression" priority="15" stopIfTrue="1">
      <formula>IF($C$8&gt;25,1,0)</formula>
    </cfRule>
    <cfRule type="expression" dxfId="42" priority="16" stopIfTrue="1">
      <formula>IF($C$8&gt;5,1,0)</formula>
    </cfRule>
  </conditionalFormatting>
  <conditionalFormatting sqref="D18:D23">
    <cfRule type="expression" dxfId="41" priority="17" stopIfTrue="1">
      <formula>IF($C$8&lt;5.1,1,0)</formula>
    </cfRule>
  </conditionalFormatting>
  <conditionalFormatting sqref="F18:F22">
    <cfRule type="expression" priority="18" stopIfTrue="1">
      <formula>IF($C$8&gt;75,1,0)</formula>
    </cfRule>
    <cfRule type="expression" dxfId="40" priority="19" stopIfTrue="1">
      <formula>IF($C$8&gt;25,1,0)</formula>
    </cfRule>
  </conditionalFormatting>
  <pageMargins left="0.75" right="0.75" top="1" bottom="1" header="0.5" footer="0.5"/>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sheetPr codeName="Blad3"/>
  <dimension ref="A2:BD201"/>
  <sheetViews>
    <sheetView workbookViewId="0"/>
  </sheetViews>
  <sheetFormatPr defaultRowHeight="12.75"/>
  <cols>
    <col min="1" max="1" width="9.140625" style="197"/>
    <col min="2" max="2" width="21.28515625" style="197" customWidth="1"/>
    <col min="3" max="3" width="29.28515625" style="197" customWidth="1"/>
    <col min="4" max="4" width="10.5703125" style="197" customWidth="1"/>
    <col min="5" max="5" width="9.140625" style="197"/>
    <col min="6" max="6" width="11.42578125" style="197" customWidth="1"/>
    <col min="7" max="9" width="9.140625" style="197"/>
    <col min="10" max="10" width="9.5703125" style="197" bestFit="1" customWidth="1"/>
    <col min="11" max="20" width="9.140625" style="197"/>
    <col min="21" max="21" width="15" style="197" customWidth="1"/>
    <col min="22" max="24" width="9.28515625" style="197" bestFit="1" customWidth="1"/>
    <col min="25" max="30" width="10" style="197" bestFit="1" customWidth="1"/>
    <col min="31" max="31" width="9.140625" style="197"/>
    <col min="32" max="33" width="10" style="197" bestFit="1" customWidth="1"/>
    <col min="34" max="34" width="9.28515625" style="197" bestFit="1" customWidth="1"/>
    <col min="35" max="35" width="23.42578125" style="197" bestFit="1" customWidth="1"/>
    <col min="36" max="36" width="13.5703125" style="197" bestFit="1" customWidth="1"/>
    <col min="37" max="37" width="18.7109375" style="197" bestFit="1" customWidth="1"/>
    <col min="38" max="38" width="16.7109375" style="197" bestFit="1" customWidth="1"/>
    <col min="39" max="39" width="15.28515625" style="197" bestFit="1" customWidth="1"/>
    <col min="40" max="40" width="10" style="197" bestFit="1" customWidth="1"/>
    <col min="41" max="16384" width="9.140625" style="197"/>
  </cols>
  <sheetData>
    <row r="2" spans="2:35" ht="23.25">
      <c r="B2" s="170" t="s">
        <v>357</v>
      </c>
      <c r="J2" s="210"/>
    </row>
    <row r="3" spans="2:35">
      <c r="AI3" s="211"/>
    </row>
    <row r="5" spans="2:35" ht="15.75">
      <c r="B5" s="244" t="s">
        <v>297</v>
      </c>
      <c r="C5" s="189"/>
      <c r="D5" s="189"/>
      <c r="E5" s="189"/>
      <c r="F5" s="189"/>
      <c r="G5" s="189"/>
      <c r="H5" s="189"/>
      <c r="I5" s="189"/>
      <c r="J5" s="189"/>
      <c r="K5" s="189"/>
      <c r="L5" s="189"/>
      <c r="M5" s="190"/>
      <c r="N5" s="190"/>
      <c r="O5" s="190"/>
      <c r="P5" s="190"/>
      <c r="Q5" s="190"/>
      <c r="R5" s="190"/>
      <c r="S5" s="190"/>
      <c r="T5" s="190"/>
      <c r="U5" s="190"/>
      <c r="V5" s="190"/>
      <c r="W5" s="190"/>
      <c r="X5" s="190"/>
      <c r="Y5" s="190"/>
      <c r="Z5" s="190"/>
      <c r="AA5" s="190"/>
      <c r="AB5" s="190"/>
      <c r="AC5" s="190"/>
      <c r="AD5" s="190"/>
      <c r="AE5" s="190"/>
      <c r="AF5" s="190"/>
      <c r="AG5" s="190"/>
      <c r="AH5" s="190"/>
    </row>
    <row r="7" spans="2:35">
      <c r="B7" s="258"/>
      <c r="C7" s="259"/>
      <c r="D7" s="259"/>
      <c r="E7" s="258"/>
      <c r="F7" s="258"/>
      <c r="G7" s="260"/>
      <c r="H7" s="258"/>
      <c r="I7" s="258"/>
      <c r="J7" s="258"/>
      <c r="K7" s="258"/>
      <c r="L7" s="258"/>
      <c r="M7" s="258"/>
      <c r="N7" s="258"/>
    </row>
    <row r="8" spans="2:35">
      <c r="B8" s="258" t="s">
        <v>0</v>
      </c>
      <c r="C8" s="259"/>
      <c r="D8" s="259"/>
      <c r="E8" s="258"/>
      <c r="F8" s="258"/>
      <c r="G8" s="309">
        <v>3</v>
      </c>
      <c r="H8" s="258"/>
      <c r="I8" s="258"/>
      <c r="J8" s="258"/>
      <c r="K8" s="258"/>
      <c r="L8" s="258"/>
      <c r="M8" s="258"/>
      <c r="N8" s="258"/>
    </row>
    <row r="9" spans="2:35">
      <c r="B9" s="258"/>
      <c r="C9" s="259"/>
      <c r="D9" s="259"/>
      <c r="E9" s="258"/>
      <c r="F9" s="258"/>
      <c r="G9" s="260"/>
      <c r="H9" s="258"/>
      <c r="I9" s="258"/>
      <c r="J9" s="258"/>
      <c r="K9" s="258"/>
      <c r="L9" s="258"/>
      <c r="M9" s="258"/>
      <c r="N9" s="258"/>
    </row>
    <row r="10" spans="2:35">
      <c r="B10" s="258"/>
      <c r="C10" s="258"/>
      <c r="D10" s="258"/>
      <c r="E10" s="258"/>
      <c r="F10" s="258"/>
      <c r="G10" s="260"/>
      <c r="H10" s="258"/>
      <c r="I10" s="258"/>
      <c r="J10" s="258"/>
      <c r="K10" s="258"/>
      <c r="L10" s="258"/>
      <c r="M10" s="258"/>
      <c r="N10" s="258"/>
    </row>
    <row r="11" spans="2:35">
      <c r="P11" s="177"/>
    </row>
    <row r="12" spans="2:35">
      <c r="P12" s="177"/>
    </row>
    <row r="13" spans="2:35" ht="12.75" customHeight="1">
      <c r="B13" s="427">
        <v>1</v>
      </c>
      <c r="C13" s="189" t="s">
        <v>305</v>
      </c>
      <c r="D13" s="190"/>
      <c r="E13" s="190"/>
      <c r="F13" s="189"/>
      <c r="G13" s="190"/>
      <c r="H13" s="190"/>
      <c r="I13" s="190"/>
      <c r="J13" s="190"/>
      <c r="K13" s="190"/>
      <c r="L13" s="190"/>
      <c r="M13" s="190"/>
      <c r="N13" s="190"/>
      <c r="O13" s="177"/>
      <c r="P13" s="198"/>
    </row>
    <row r="14" spans="2:35" ht="12.75" customHeight="1">
      <c r="B14" s="427"/>
      <c r="Q14" s="177"/>
      <c r="T14" s="416"/>
      <c r="U14" s="416"/>
      <c r="V14" s="416"/>
      <c r="W14" s="416"/>
      <c r="X14" s="416"/>
      <c r="Y14" s="416"/>
    </row>
    <row r="15" spans="2:35" ht="12.75" customHeight="1">
      <c r="B15" s="427"/>
      <c r="C15" s="273" t="s">
        <v>364</v>
      </c>
      <c r="F15" s="198"/>
      <c r="L15" s="177"/>
      <c r="M15" s="198" t="str">
        <f>'Consumententabel (achtergrond)'!T109</f>
        <v>standaard deviatie schadepercentage per type opvoerwerk</v>
      </c>
      <c r="T15" s="416"/>
      <c r="U15" s="416"/>
      <c r="V15" s="416"/>
      <c r="W15" s="417" t="s">
        <v>287</v>
      </c>
      <c r="X15" s="417"/>
      <c r="Y15" s="417"/>
      <c r="Z15" s="217"/>
      <c r="AA15" s="217"/>
      <c r="AB15" s="217"/>
      <c r="AC15" s="217"/>
      <c r="AD15" s="217"/>
      <c r="AE15" s="217"/>
      <c r="AF15" s="217"/>
      <c r="AG15" s="217"/>
    </row>
    <row r="16" spans="2:35" ht="81">
      <c r="B16" s="212"/>
      <c r="C16" s="223" t="s">
        <v>337</v>
      </c>
      <c r="D16" s="223" t="s">
        <v>252</v>
      </c>
      <c r="E16" s="223"/>
      <c r="F16" s="225" t="str">
        <f>'Consumententabel (achtergrond)'!G110</f>
        <v>aal</v>
      </c>
      <c r="G16" s="225" t="str">
        <f>'Consumententabel (achtergrond)'!H110</f>
        <v xml:space="preserve">overige vissoorten </v>
      </c>
      <c r="H16" s="225" t="str">
        <f>'Consumententabel (achtergrond)'!I110</f>
        <v>totaal</v>
      </c>
      <c r="I16" s="225" t="str">
        <f>'Consumententabel (achtergrond)'!P110</f>
        <v>schubvis &lt;15cm</v>
      </c>
      <c r="J16" s="225" t="str">
        <f>'Consumententabel (achtergrond)'!Q110</f>
        <v>schubvis &gt;15cm</v>
      </c>
      <c r="K16" s="225" t="str">
        <f>'Consumententabel (achtergrond)'!R110</f>
        <v>totaal schubvis</v>
      </c>
      <c r="L16" s="213"/>
      <c r="M16" s="225" t="str">
        <f>'Consumententabel (achtergrond)'!T110</f>
        <v>aal</v>
      </c>
      <c r="N16" s="225" t="str">
        <f>'Consumententabel (achtergrond)'!U110</f>
        <v xml:space="preserve">overige vissoorten </v>
      </c>
      <c r="O16" s="225" t="str">
        <f>'Consumententabel (achtergrond)'!V110</f>
        <v>totaal</v>
      </c>
      <c r="P16" s="225" t="str">
        <f>'Consumententabel (achtergrond)'!AC110</f>
        <v>schubvis &lt;15cm</v>
      </c>
      <c r="Q16" s="225" t="str">
        <f>'Consumententabel (achtergrond)'!AD110</f>
        <v>schubvis &gt;15cm</v>
      </c>
      <c r="R16" s="225" t="str">
        <f>'Consumententabel (achtergrond)'!AE110</f>
        <v>totaal schubvis</v>
      </c>
      <c r="S16" s="405"/>
      <c r="T16" s="422" t="str">
        <f>'Consumententabel (achtergrond)'!AG110</f>
        <v>aal</v>
      </c>
      <c r="U16" s="422" t="str">
        <f>'Consumententabel (achtergrond)'!AH110</f>
        <v xml:space="preserve">overige vissoorten </v>
      </c>
      <c r="V16" s="422" t="str">
        <f>'Consumententabel (achtergrond)'!AI110</f>
        <v>totaal</v>
      </c>
      <c r="W16" s="422" t="str">
        <f>'Consumententabel (achtergrond)'!AP110</f>
        <v>schubvis &lt;15cm</v>
      </c>
      <c r="X16" s="422" t="str">
        <f>'Consumententabel (achtergrond)'!AQ110</f>
        <v>schubvis &gt;15cm</v>
      </c>
      <c r="Y16" s="422" t="str">
        <f>'Consumententabel (achtergrond)'!AR110</f>
        <v>totaal schubvis</v>
      </c>
      <c r="Z16" s="405"/>
      <c r="AA16" s="405"/>
      <c r="AB16" s="405"/>
    </row>
    <row r="17" spans="3:28">
      <c r="C17" s="197" t="str">
        <f>'Consumententabel (achtergrond)'!C111</f>
        <v>Buisvijzel FFI</v>
      </c>
      <c r="D17" s="177" t="s">
        <v>44</v>
      </c>
      <c r="F17" s="214">
        <f>IF(ISNUMBER('Consumententabel (achtergrond)'!G111),'Consumententabel (achtergrond)'!G111,"")</f>
        <v>0</v>
      </c>
      <c r="G17" s="214">
        <f>IF(ISNUMBER('Consumententabel (achtergrond)'!H111),'Consumententabel (achtergrond)'!H111,"")</f>
        <v>0.66666666666666663</v>
      </c>
      <c r="H17" s="214">
        <f>IF(ISNUMBER('Consumententabel (achtergrond)'!I111),'Consumententabel (achtergrond)'!I111,"")</f>
        <v>0.66666666666666663</v>
      </c>
      <c r="I17" s="214">
        <f>IF(ISNUMBER('Consumententabel (achtergrond)'!P111),'Consumententabel (achtergrond)'!P111,"")</f>
        <v>0.66666666666666663</v>
      </c>
      <c r="J17" s="214">
        <f>IF(ISNUMBER('Consumententabel (achtergrond)'!Q111),'Consumententabel (achtergrond)'!Q111,"")</f>
        <v>1.3333333333333333</v>
      </c>
      <c r="K17" s="214">
        <f>IF(ISNUMBER('Consumententabel (achtergrond)'!R111),'Consumententabel (achtergrond)'!R111,"")</f>
        <v>0.66666666666666663</v>
      </c>
      <c r="L17" s="214"/>
      <c r="M17" s="214">
        <f>IF(ISNUMBER('Consumententabel (achtergrond)'!T111),'Consumententabel (achtergrond)'!T111,"")</f>
        <v>0</v>
      </c>
      <c r="N17" s="214">
        <f>IF(ISNUMBER('Consumententabel (achtergrond)'!U111),'Consumententabel (achtergrond)'!U111,"")</f>
        <v>0.57735026918962584</v>
      </c>
      <c r="O17" s="214">
        <f>IF(ISNUMBER('Consumententabel (achtergrond)'!V111),'Consumententabel (achtergrond)'!V111,"")</f>
        <v>0.57735026918962584</v>
      </c>
      <c r="P17" s="214">
        <f>IF(ISNUMBER('Consumententabel (achtergrond)'!AC111),'Consumententabel (achtergrond)'!AC111,"")</f>
        <v>0.57735026918962584</v>
      </c>
      <c r="Q17" s="214">
        <f>IF(ISNUMBER('Consumententabel (achtergrond)'!AD111),'Consumententabel (achtergrond)'!AD111,"")</f>
        <v>2.3094010767585034</v>
      </c>
      <c r="R17" s="214">
        <f>IF(ISNUMBER('Consumententabel (achtergrond)'!AE111),'Consumententabel (achtergrond)'!AE111,"")</f>
        <v>0.57735026918962584</v>
      </c>
      <c r="S17" s="405"/>
      <c r="T17" s="417">
        <f>'Consumententabel (achtergrond)'!AG111</f>
        <v>2</v>
      </c>
      <c r="U17" s="417">
        <f>'Consumententabel (achtergrond)'!AH111</f>
        <v>3</v>
      </c>
      <c r="V17" s="417">
        <f>'Consumententabel (achtergrond)'!AI111</f>
        <v>3</v>
      </c>
      <c r="W17" s="417">
        <f>'Consumententabel (achtergrond)'!AP111</f>
        <v>3</v>
      </c>
      <c r="X17" s="417">
        <f>'Consumententabel (achtergrond)'!AQ111</f>
        <v>3</v>
      </c>
      <c r="Y17" s="417">
        <f>'Consumententabel (achtergrond)'!AR111</f>
        <v>3</v>
      </c>
      <c r="Z17" s="405"/>
      <c r="AA17" s="405"/>
      <c r="AB17" s="405"/>
    </row>
    <row r="18" spans="3:28">
      <c r="C18" s="197" t="str">
        <f>'Consumententabel (achtergrond)'!C112</f>
        <v>De Wit vijzel</v>
      </c>
      <c r="D18" s="177" t="s">
        <v>44</v>
      </c>
      <c r="F18" s="214">
        <f>IF(ISNUMBER('Consumententabel (achtergrond)'!G112),'Consumententabel (achtergrond)'!G112,"")</f>
        <v>0</v>
      </c>
      <c r="G18" s="214">
        <f>IF(ISNUMBER('Consumententabel (achtergrond)'!H112),'Consumententabel (achtergrond)'!H112,"")</f>
        <v>0.33333333333333331</v>
      </c>
      <c r="H18" s="214">
        <f>IF(ISNUMBER('Consumententabel (achtergrond)'!I112),'Consumententabel (achtergrond)'!I112,"")</f>
        <v>0.33333333333333331</v>
      </c>
      <c r="I18" s="214">
        <f>IF(ISNUMBER('Consumententabel (achtergrond)'!P112),'Consumententabel (achtergrond)'!P112,"")</f>
        <v>0</v>
      </c>
      <c r="J18" s="214">
        <f>IF(ISNUMBER('Consumententabel (achtergrond)'!Q112),'Consumententabel (achtergrond)'!Q112,"")</f>
        <v>2</v>
      </c>
      <c r="K18" s="214">
        <f>IF(ISNUMBER('Consumententabel (achtergrond)'!R112),'Consumententabel (achtergrond)'!R112,"")</f>
        <v>0.33333333333333331</v>
      </c>
      <c r="M18" s="214" t="str">
        <f>IF(ISNUMBER('Consumententabel (achtergrond)'!T112),'Consumententabel (achtergrond)'!T112,"")</f>
        <v/>
      </c>
      <c r="N18" s="214">
        <f>IF(ISNUMBER('Consumententabel (achtergrond)'!U112),'Consumententabel (achtergrond)'!U112,"")</f>
        <v>0.57735026918962584</v>
      </c>
      <c r="O18" s="214">
        <f>IF(ISNUMBER('Consumententabel (achtergrond)'!V112),'Consumententabel (achtergrond)'!V112,"")</f>
        <v>0.57735026918962584</v>
      </c>
      <c r="P18" s="214" t="str">
        <f>IF(ISNUMBER('Consumententabel (achtergrond)'!AC112),'Consumententabel (achtergrond)'!AC112,"")</f>
        <v/>
      </c>
      <c r="Q18" s="214" t="str">
        <f>IF(ISNUMBER('Consumententabel (achtergrond)'!AD112),'Consumententabel (achtergrond)'!AD112,"")</f>
        <v/>
      </c>
      <c r="R18" s="214">
        <f>IF(ISNUMBER('Consumententabel (achtergrond)'!AE112),'Consumententabel (achtergrond)'!AE112,"")</f>
        <v>0.57735026918962584</v>
      </c>
      <c r="S18" s="405"/>
      <c r="T18" s="417">
        <f>'Consumententabel (achtergrond)'!AG112</f>
        <v>1</v>
      </c>
      <c r="U18" s="417">
        <f>'Consumententabel (achtergrond)'!AH112</f>
        <v>3</v>
      </c>
      <c r="V18" s="417">
        <f>'Consumententabel (achtergrond)'!AI112</f>
        <v>3</v>
      </c>
      <c r="W18" s="417">
        <f>'Consumententabel (achtergrond)'!AP112</f>
        <v>1</v>
      </c>
      <c r="X18" s="417">
        <f>'Consumententabel (achtergrond)'!AQ112</f>
        <v>1</v>
      </c>
      <c r="Y18" s="417">
        <f>'Consumententabel (achtergrond)'!AR112</f>
        <v>3</v>
      </c>
      <c r="Z18" s="405"/>
      <c r="AA18" s="405"/>
      <c r="AB18" s="405"/>
    </row>
    <row r="19" spans="3:28">
      <c r="C19" s="197" t="str">
        <f>'Consumententabel (achtergrond)'!C113</f>
        <v>Vijzel</v>
      </c>
      <c r="D19" s="177" t="s">
        <v>44</v>
      </c>
      <c r="F19" s="214">
        <f>IF(ISNUMBER('Consumententabel (achtergrond)'!G113),'Consumententabel (achtergrond)'!G113,"")</f>
        <v>2</v>
      </c>
      <c r="G19" s="214">
        <f>IF(ISNUMBER('Consumententabel (achtergrond)'!H113),'Consumententabel (achtergrond)'!H113,"")</f>
        <v>8</v>
      </c>
      <c r="H19" s="214">
        <f>IF(ISNUMBER('Consumententabel (achtergrond)'!I113),'Consumententabel (achtergrond)'!I113,"")</f>
        <v>5.7692307692307692</v>
      </c>
      <c r="I19" s="214">
        <f>IF(ISNUMBER('Consumententabel (achtergrond)'!P113),'Consumententabel (achtergrond)'!P113,"")</f>
        <v>0.33333333333333331</v>
      </c>
      <c r="J19" s="214">
        <f>IF(ISNUMBER('Consumententabel (achtergrond)'!Q113),'Consumententabel (achtergrond)'!Q113,"")</f>
        <v>2.3333333333333335</v>
      </c>
      <c r="K19" s="214">
        <f>IF(ISNUMBER('Consumententabel (achtergrond)'!R113),'Consumententabel (achtergrond)'!R113,"")</f>
        <v>5.666666666666667</v>
      </c>
      <c r="M19" s="214">
        <f>IF(ISNUMBER('Consumententabel (achtergrond)'!T113),'Consumententabel (achtergrond)'!T113,"")</f>
        <v>3.3466401061363023</v>
      </c>
      <c r="N19" s="214">
        <f>IF(ISNUMBER('Consumententabel (achtergrond)'!U113),'Consumententabel (achtergrond)'!U113,"")</f>
        <v>13.873050798636125</v>
      </c>
      <c r="O19" s="214">
        <f>IF(ISNUMBER('Consumententabel (achtergrond)'!V113),'Consumententabel (achtergrond)'!V113,"")</f>
        <v>10.075993302183216</v>
      </c>
      <c r="P19" s="214">
        <f>IF(ISNUMBER('Consumententabel (achtergrond)'!AC113),'Consumententabel (achtergrond)'!AC113,"")</f>
        <v>0.57735026918962584</v>
      </c>
      <c r="Q19" s="214">
        <f>IF(ISNUMBER('Consumententabel (achtergrond)'!AD113),'Consumententabel (achtergrond)'!AD113,"")</f>
        <v>4.0414518843273806</v>
      </c>
      <c r="R19" s="214">
        <f>IF(ISNUMBER('Consumententabel (achtergrond)'!AE113),'Consumententabel (achtergrond)'!AE113,"")</f>
        <v>12.909944487358057</v>
      </c>
      <c r="S19" s="405"/>
      <c r="T19" s="417">
        <f>'Consumententabel (achtergrond)'!AG113</f>
        <v>6</v>
      </c>
      <c r="U19" s="417">
        <f>'Consumententabel (achtergrond)'!AH113</f>
        <v>14</v>
      </c>
      <c r="V19" s="417">
        <f>'Consumententabel (achtergrond)'!AI113</f>
        <v>13</v>
      </c>
      <c r="W19" s="417">
        <f>'Consumententabel (achtergrond)'!AP113</f>
        <v>3</v>
      </c>
      <c r="X19" s="417">
        <f>'Consumententabel (achtergrond)'!AQ113</f>
        <v>3</v>
      </c>
      <c r="Y19" s="417">
        <f>'Consumententabel (achtergrond)'!AR113</f>
        <v>6</v>
      </c>
      <c r="Z19" s="405"/>
      <c r="AA19" s="405"/>
      <c r="AB19" s="405"/>
    </row>
    <row r="20" spans="3:28">
      <c r="C20" s="197" t="str">
        <f>'Consumententabel (achtergrond)'!C114</f>
        <v>Vijzel (Spaans Babcock)</v>
      </c>
      <c r="D20" s="177" t="s">
        <v>44</v>
      </c>
      <c r="F20" s="214">
        <f>IF(ISNUMBER('Consumententabel (achtergrond)'!G114),'Consumententabel (achtergrond)'!G114,"")</f>
        <v>2</v>
      </c>
      <c r="G20" s="214">
        <f>IF(ISNUMBER('Consumententabel (achtergrond)'!H114),'Consumententabel (achtergrond)'!H114,"")</f>
        <v>0</v>
      </c>
      <c r="H20" s="214">
        <f>IF(ISNUMBER('Consumententabel (achtergrond)'!I114),'Consumententabel (achtergrond)'!I114,"")</f>
        <v>0</v>
      </c>
      <c r="I20" s="214">
        <f>IF(ISNUMBER('Consumententabel (achtergrond)'!P114),'Consumententabel (achtergrond)'!P114,"")</f>
        <v>0</v>
      </c>
      <c r="J20" s="214">
        <f>IF(ISNUMBER('Consumententabel (achtergrond)'!Q114),'Consumententabel (achtergrond)'!Q114,"")</f>
        <v>0.5</v>
      </c>
      <c r="K20" s="214">
        <f>IF(ISNUMBER('Consumententabel (achtergrond)'!R114),'Consumententabel (achtergrond)'!R114,"")</f>
        <v>0</v>
      </c>
      <c r="M20" s="214" t="str">
        <f>IF(ISNUMBER('Consumententabel (achtergrond)'!T114),'Consumententabel (achtergrond)'!T114,"")</f>
        <v/>
      </c>
      <c r="N20" s="214">
        <f>IF(ISNUMBER('Consumententabel (achtergrond)'!U114),'Consumententabel (achtergrond)'!U114,"")</f>
        <v>0</v>
      </c>
      <c r="O20" s="214">
        <f>IF(ISNUMBER('Consumententabel (achtergrond)'!V114),'Consumententabel (achtergrond)'!V114,"")</f>
        <v>0</v>
      </c>
      <c r="P20" s="214">
        <f>IF(ISNUMBER('Consumententabel (achtergrond)'!AC114),'Consumententabel (achtergrond)'!AC114,"")</f>
        <v>0</v>
      </c>
      <c r="Q20" s="214">
        <f>IF(ISNUMBER('Consumententabel (achtergrond)'!AD114),'Consumententabel (achtergrond)'!AD114,"")</f>
        <v>0.70710678118654757</v>
      </c>
      <c r="R20" s="214">
        <f>IF(ISNUMBER('Consumententabel (achtergrond)'!AE114),'Consumententabel (achtergrond)'!AE114,"")</f>
        <v>0</v>
      </c>
      <c r="S20" s="405"/>
      <c r="T20" s="417">
        <f>'Consumententabel (achtergrond)'!AG114</f>
        <v>1</v>
      </c>
      <c r="U20" s="417">
        <f>'Consumententabel (achtergrond)'!AH114</f>
        <v>2</v>
      </c>
      <c r="V20" s="417">
        <f>'Consumententabel (achtergrond)'!AI114</f>
        <v>2</v>
      </c>
      <c r="W20" s="417">
        <f>'Consumententabel (achtergrond)'!AP114</f>
        <v>2</v>
      </c>
      <c r="X20" s="417">
        <f>'Consumententabel (achtergrond)'!AQ114</f>
        <v>2</v>
      </c>
      <c r="Y20" s="417">
        <f>'Consumententabel (achtergrond)'!AR114</f>
        <v>2</v>
      </c>
      <c r="Z20" s="405"/>
      <c r="AA20" s="405"/>
      <c r="AB20" s="405"/>
    </row>
    <row r="21" spans="3:28">
      <c r="C21" s="197" t="str">
        <f>'Consumententabel (achtergrond)'!C115</f>
        <v>Vijzel (Landustrie)</v>
      </c>
      <c r="D21" s="177" t="s">
        <v>44</v>
      </c>
      <c r="F21" s="214">
        <f>IF(ISNUMBER('Consumententabel (achtergrond)'!G115),'Consumententabel (achtergrond)'!G115,"")</f>
        <v>5.5</v>
      </c>
      <c r="G21" s="214">
        <f>IF(ISNUMBER('Consumententabel (achtergrond)'!H115),'Consumententabel (achtergrond)'!H115,"")</f>
        <v>0</v>
      </c>
      <c r="H21" s="214">
        <f>IF(ISNUMBER('Consumententabel (achtergrond)'!I115),'Consumententabel (achtergrond)'!I115,"")</f>
        <v>1.5</v>
      </c>
      <c r="I21" s="214" t="str">
        <f>IF(ISNUMBER('Consumententabel (achtergrond)'!P115),'Consumententabel (achtergrond)'!P115,"")</f>
        <v/>
      </c>
      <c r="J21" s="214" t="str">
        <f>IF(ISNUMBER('Consumententabel (achtergrond)'!Q115),'Consumententabel (achtergrond)'!Q115,"")</f>
        <v/>
      </c>
      <c r="K21" s="214">
        <f>IF(ISNUMBER('Consumententabel (achtergrond)'!R115),'Consumententabel (achtergrond)'!R115,"")</f>
        <v>0</v>
      </c>
      <c r="M21" s="214">
        <f>IF(ISNUMBER('Consumententabel (achtergrond)'!T115),'Consumententabel (achtergrond)'!T115,"")</f>
        <v>3.5355339059327378</v>
      </c>
      <c r="N21" s="214">
        <f>IF(ISNUMBER('Consumententabel (achtergrond)'!U115),'Consumententabel (achtergrond)'!U115,"")</f>
        <v>0</v>
      </c>
      <c r="O21" s="214">
        <f>IF(ISNUMBER('Consumententabel (achtergrond)'!V115),'Consumententabel (achtergrond)'!V115,"")</f>
        <v>0.70710678118654757</v>
      </c>
      <c r="P21" s="214" t="str">
        <f>IF(ISNUMBER('Consumententabel (achtergrond)'!AC115),'Consumententabel (achtergrond)'!AC115,"")</f>
        <v/>
      </c>
      <c r="Q21" s="214" t="str">
        <f>IF(ISNUMBER('Consumententabel (achtergrond)'!AD115),'Consumententabel (achtergrond)'!AD115,"")</f>
        <v/>
      </c>
      <c r="R21" s="214">
        <f>IF(ISNUMBER('Consumententabel (achtergrond)'!AE115),'Consumententabel (achtergrond)'!AE115,"")</f>
        <v>0</v>
      </c>
      <c r="S21" s="405"/>
      <c r="T21" s="417">
        <f>'Consumententabel (achtergrond)'!AG115</f>
        <v>2</v>
      </c>
      <c r="U21" s="417">
        <f>'Consumententabel (achtergrond)'!AH115</f>
        <v>2</v>
      </c>
      <c r="V21" s="417">
        <f>'Consumententabel (achtergrond)'!AI115</f>
        <v>2</v>
      </c>
      <c r="W21" s="417">
        <f>'Consumententabel (achtergrond)'!AP115</f>
        <v>0</v>
      </c>
      <c r="X21" s="417">
        <f>'Consumententabel (achtergrond)'!AQ115</f>
        <v>0</v>
      </c>
      <c r="Y21" s="417">
        <f>'Consumententabel (achtergrond)'!AR115</f>
        <v>2</v>
      </c>
      <c r="Z21" s="405"/>
      <c r="AA21" s="405"/>
      <c r="AB21" s="405"/>
    </row>
    <row r="22" spans="3:28">
      <c r="C22" s="197" t="str">
        <f>'Consumententabel (achtergrond)'!C116</f>
        <v>Turbinevijzels</v>
      </c>
      <c r="D22" s="177" t="s">
        <v>265</v>
      </c>
      <c r="F22" s="214" t="str">
        <f>IF(ISNUMBER('Consumententabel (achtergrond)'!G116),'Consumententabel (achtergrond)'!G116,"")</f>
        <v/>
      </c>
      <c r="G22" s="214">
        <f>IF(ISNUMBER('Consumententabel (achtergrond)'!H116),'Consumententabel (achtergrond)'!H116,"")</f>
        <v>1.3333333333333333</v>
      </c>
      <c r="H22" s="214">
        <f>IF(ISNUMBER('Consumententabel (achtergrond)'!I116),'Consumententabel (achtergrond)'!I116,"")</f>
        <v>0</v>
      </c>
      <c r="I22" s="214" t="str">
        <f>IF(ISNUMBER('Consumententabel (achtergrond)'!P116),'Consumententabel (achtergrond)'!P116,"")</f>
        <v/>
      </c>
      <c r="J22" s="214" t="str">
        <f>IF(ISNUMBER('Consumententabel (achtergrond)'!Q116),'Consumententabel (achtergrond)'!Q116,"")</f>
        <v/>
      </c>
      <c r="K22" s="214">
        <f>IF(ISNUMBER('Consumententabel (achtergrond)'!R116),'Consumententabel (achtergrond)'!R116,"")</f>
        <v>0</v>
      </c>
      <c r="M22" s="214" t="str">
        <f>IF(ISNUMBER('Consumententabel (achtergrond)'!T116),'Consumententabel (achtergrond)'!T116,"")</f>
        <v/>
      </c>
      <c r="N22" s="214">
        <f>IF(ISNUMBER('Consumententabel (achtergrond)'!U116),'Consumententabel (achtergrond)'!U116,"")</f>
        <v>2.3094010767585034</v>
      </c>
      <c r="O22" s="214">
        <f>IF(ISNUMBER('Consumententabel (achtergrond)'!V116),'Consumententabel (achtergrond)'!V116,"")</f>
        <v>0</v>
      </c>
      <c r="P22" s="214" t="str">
        <f>IF(ISNUMBER('Consumententabel (achtergrond)'!AC116),'Consumententabel (achtergrond)'!AC116,"")</f>
        <v/>
      </c>
      <c r="Q22" s="214" t="str">
        <f>IF(ISNUMBER('Consumententabel (achtergrond)'!AD116),'Consumententabel (achtergrond)'!AD116,"")</f>
        <v/>
      </c>
      <c r="R22" s="214" t="str">
        <f>IF(ISNUMBER('Consumententabel (achtergrond)'!AE116),'Consumententabel (achtergrond)'!AE116,"")</f>
        <v/>
      </c>
      <c r="S22" s="405"/>
      <c r="T22" s="417">
        <f>'Consumententabel (achtergrond)'!AG116</f>
        <v>0</v>
      </c>
      <c r="U22" s="417">
        <f>'Consumententabel (achtergrond)'!AH116</f>
        <v>3</v>
      </c>
      <c r="V22" s="417">
        <f>'Consumententabel (achtergrond)'!AI116</f>
        <v>2</v>
      </c>
      <c r="W22" s="417">
        <f>'Consumententabel (achtergrond)'!AP116</f>
        <v>0</v>
      </c>
      <c r="X22" s="417">
        <f>'Consumententabel (achtergrond)'!AQ116</f>
        <v>0</v>
      </c>
      <c r="Y22" s="417">
        <f>'Consumententabel (achtergrond)'!AR116</f>
        <v>1</v>
      </c>
      <c r="Z22" s="405"/>
      <c r="AA22" s="405"/>
      <c r="AB22" s="405"/>
    </row>
    <row r="23" spans="3:28">
      <c r="C23" s="197" t="str">
        <f>'Consumententabel (achtergrond)'!C117</f>
        <v>Centrifugaalpomp</v>
      </c>
      <c r="D23" s="177" t="s">
        <v>43</v>
      </c>
      <c r="F23" s="214">
        <f>IF(ISNUMBER('Consumententabel (achtergrond)'!G117),'Consumententabel (achtergrond)'!G117,"")</f>
        <v>8.1666666666666661</v>
      </c>
      <c r="G23" s="214">
        <f>IF(ISNUMBER('Consumententabel (achtergrond)'!H117),'Consumententabel (achtergrond)'!H117,"")</f>
        <v>5.5555555555555554</v>
      </c>
      <c r="H23" s="214">
        <f>IF(ISNUMBER('Consumententabel (achtergrond)'!I117),'Consumententabel (achtergrond)'!I117,"")</f>
        <v>4.7272727272727275</v>
      </c>
      <c r="I23" s="214">
        <f>IF(ISNUMBER('Consumententabel (achtergrond)'!P117),'Consumententabel (achtergrond)'!P117,"")</f>
        <v>5.75</v>
      </c>
      <c r="J23" s="214">
        <f>IF(ISNUMBER('Consumententabel (achtergrond)'!Q117),'Consumententabel (achtergrond)'!Q117,"")</f>
        <v>1</v>
      </c>
      <c r="K23" s="214">
        <f>IF(ISNUMBER('Consumententabel (achtergrond)'!R117),'Consumententabel (achtergrond)'!R117,"")</f>
        <v>5.833333333333333</v>
      </c>
      <c r="M23" s="214">
        <f>IF(ISNUMBER('Consumententabel (achtergrond)'!T117),'Consumententabel (achtergrond)'!T117,"")</f>
        <v>20.004166232729286</v>
      </c>
      <c r="N23" s="214">
        <f>IF(ISNUMBER('Consumententabel (achtergrond)'!U117),'Consumententabel (achtergrond)'!U117,"")</f>
        <v>8.232726023485645</v>
      </c>
      <c r="O23" s="214">
        <f>IF(ISNUMBER('Consumententabel (achtergrond)'!V117),'Consumententabel (achtergrond)'!V117,"")</f>
        <v>6.6346199452705514</v>
      </c>
      <c r="P23" s="214">
        <f>IF(ISNUMBER('Consumententabel (achtergrond)'!AC117),'Consumententabel (achtergrond)'!AC117,"")</f>
        <v>10.843584893075414</v>
      </c>
      <c r="Q23" s="214">
        <f>IF(ISNUMBER('Consumententabel (achtergrond)'!AD117),'Consumententabel (achtergrond)'!AD117,"")</f>
        <v>1.4142135623730951</v>
      </c>
      <c r="R23" s="214">
        <f>IF(ISNUMBER('Consumententabel (achtergrond)'!AE117),'Consumententabel (achtergrond)'!AE117,"")</f>
        <v>8.7730648388500274</v>
      </c>
      <c r="S23" s="405"/>
      <c r="T23" s="417">
        <f>'Consumententabel (achtergrond)'!AG117</f>
        <v>6</v>
      </c>
      <c r="U23" s="417">
        <f>'Consumententabel (achtergrond)'!AH117</f>
        <v>9</v>
      </c>
      <c r="V23" s="417">
        <f>'Consumententabel (achtergrond)'!AI117</f>
        <v>11</v>
      </c>
      <c r="W23" s="417">
        <f>'Consumententabel (achtergrond)'!AP117</f>
        <v>4</v>
      </c>
      <c r="X23" s="417">
        <f>'Consumententabel (achtergrond)'!AQ117</f>
        <v>2</v>
      </c>
      <c r="Y23" s="417">
        <f>'Consumententabel (achtergrond)'!AR117</f>
        <v>6</v>
      </c>
      <c r="Z23" s="405"/>
      <c r="AA23" s="405"/>
      <c r="AB23" s="405"/>
    </row>
    <row r="24" spans="3:28">
      <c r="C24" s="197" t="str">
        <f>'Consumententabel (achtergrond)'!C118</f>
        <v>Amarex KRT</v>
      </c>
      <c r="D24" s="196" t="s">
        <v>266</v>
      </c>
      <c r="F24" s="214">
        <f>IF(ISNUMBER('Consumententabel (achtergrond)'!G118),'Consumententabel (achtergrond)'!G118,"")</f>
        <v>0</v>
      </c>
      <c r="G24" s="214">
        <f>IF(ISNUMBER('Consumententabel (achtergrond)'!H118),'Consumententabel (achtergrond)'!H118,"")</f>
        <v>0</v>
      </c>
      <c r="H24" s="214">
        <f>IF(ISNUMBER('Consumententabel (achtergrond)'!I118),'Consumententabel (achtergrond)'!I118,"")</f>
        <v>0</v>
      </c>
      <c r="I24" s="214">
        <f>IF(ISNUMBER('Consumententabel (achtergrond)'!P118),'Consumententabel (achtergrond)'!P118,"")</f>
        <v>0</v>
      </c>
      <c r="J24" s="214">
        <f>IF(ISNUMBER('Consumententabel (achtergrond)'!Q118),'Consumententabel (achtergrond)'!Q118,"")</f>
        <v>0</v>
      </c>
      <c r="K24" s="214">
        <f>IF(ISNUMBER('Consumententabel (achtergrond)'!R118),'Consumententabel (achtergrond)'!R118,"")</f>
        <v>0</v>
      </c>
      <c r="M24" s="214" t="str">
        <f>IF(ISNUMBER('Consumententabel (achtergrond)'!T118),'Consumententabel (achtergrond)'!T118,"")</f>
        <v/>
      </c>
      <c r="N24" s="214" t="str">
        <f>IF(ISNUMBER('Consumententabel (achtergrond)'!U118),'Consumententabel (achtergrond)'!U118,"")</f>
        <v/>
      </c>
      <c r="O24" s="214" t="str">
        <f>IF(ISNUMBER('Consumententabel (achtergrond)'!V118),'Consumententabel (achtergrond)'!V118,"")</f>
        <v/>
      </c>
      <c r="P24" s="214" t="str">
        <f>IF(ISNUMBER('Consumententabel (achtergrond)'!AC118),'Consumententabel (achtergrond)'!AC118,"")</f>
        <v/>
      </c>
      <c r="Q24" s="214" t="str">
        <f>IF(ISNUMBER('Consumententabel (achtergrond)'!AD118),'Consumententabel (achtergrond)'!AD118,"")</f>
        <v/>
      </c>
      <c r="R24" s="214" t="str">
        <f>IF(ISNUMBER('Consumententabel (achtergrond)'!AE118),'Consumententabel (achtergrond)'!AE118,"")</f>
        <v/>
      </c>
      <c r="S24" s="405"/>
      <c r="T24" s="417">
        <f>'Consumententabel (achtergrond)'!AG118</f>
        <v>1</v>
      </c>
      <c r="U24" s="417">
        <f>'Consumententabel (achtergrond)'!AH118</f>
        <v>1</v>
      </c>
      <c r="V24" s="417">
        <f>'Consumententabel (achtergrond)'!AI118</f>
        <v>1</v>
      </c>
      <c r="W24" s="417">
        <f>'Consumententabel (achtergrond)'!AP118</f>
        <v>1</v>
      </c>
      <c r="X24" s="417">
        <f>'Consumententabel (achtergrond)'!AQ118</f>
        <v>1</v>
      </c>
      <c r="Y24" s="417">
        <f>'Consumententabel (achtergrond)'!AR118</f>
        <v>1</v>
      </c>
      <c r="Z24" s="405"/>
      <c r="AA24" s="405"/>
      <c r="AB24" s="405"/>
    </row>
    <row r="25" spans="3:28">
      <c r="C25" s="197" t="str">
        <f>'Consumententabel (achtergrond)'!C119</f>
        <v>BEVERON</v>
      </c>
      <c r="D25" s="196" t="s">
        <v>266</v>
      </c>
      <c r="F25" s="214">
        <f>IF(ISNUMBER('Consumententabel (achtergrond)'!G119),'Consumententabel (achtergrond)'!G119,"")</f>
        <v>0</v>
      </c>
      <c r="G25" s="214">
        <f>IF(ISNUMBER('Consumententabel (achtergrond)'!H119),'Consumententabel (achtergrond)'!H119,"")</f>
        <v>14.5</v>
      </c>
      <c r="H25" s="214">
        <f>IF(ISNUMBER('Consumententabel (achtergrond)'!I119),'Consumententabel (achtergrond)'!I119,"")</f>
        <v>14.5</v>
      </c>
      <c r="I25" s="214">
        <f>IF(ISNUMBER('Consumententabel (achtergrond)'!P119),'Consumententabel (achtergrond)'!P119,"")</f>
        <v>0</v>
      </c>
      <c r="J25" s="214">
        <f>IF(ISNUMBER('Consumententabel (achtergrond)'!Q119),'Consumententabel (achtergrond)'!Q119,"")</f>
        <v>30.5</v>
      </c>
      <c r="K25" s="214">
        <f>IF(ISNUMBER('Consumententabel (achtergrond)'!R119),'Consumententabel (achtergrond)'!R119,"")</f>
        <v>16</v>
      </c>
      <c r="M25" s="214" t="str">
        <f>IF(ISNUMBER('Consumententabel (achtergrond)'!T119),'Consumententabel (achtergrond)'!T119,"")</f>
        <v/>
      </c>
      <c r="N25" s="214">
        <f>IF(ISNUMBER('Consumententabel (achtergrond)'!U119),'Consumententabel (achtergrond)'!U119,"")</f>
        <v>20.506096654409877</v>
      </c>
      <c r="O25" s="214">
        <f>IF(ISNUMBER('Consumententabel (achtergrond)'!V119),'Consumententabel (achtergrond)'!V119,"")</f>
        <v>20.506096654409877</v>
      </c>
      <c r="P25" s="214">
        <f>IF(ISNUMBER('Consumententabel (achtergrond)'!AC119),'Consumententabel (achtergrond)'!AC119,"")</f>
        <v>0</v>
      </c>
      <c r="Q25" s="214">
        <f>IF(ISNUMBER('Consumententabel (achtergrond)'!AD119),'Consumententabel (achtergrond)'!AD119,"")</f>
        <v>16.263455967290593</v>
      </c>
      <c r="R25" s="214">
        <f>IF(ISNUMBER('Consumententabel (achtergrond)'!AE119),'Consumententabel (achtergrond)'!AE119,"")</f>
        <v>14.730919862656235</v>
      </c>
      <c r="S25" s="405"/>
      <c r="T25" s="417">
        <f>'Consumententabel (achtergrond)'!AG119</f>
        <v>1</v>
      </c>
      <c r="U25" s="417">
        <f>'Consumententabel (achtergrond)'!AH119</f>
        <v>2</v>
      </c>
      <c r="V25" s="417">
        <f>'Consumententabel (achtergrond)'!AI119</f>
        <v>2</v>
      </c>
      <c r="W25" s="417">
        <f>'Consumententabel (achtergrond)'!AP119</f>
        <v>2</v>
      </c>
      <c r="X25" s="417">
        <f>'Consumententabel (achtergrond)'!AQ119</f>
        <v>2</v>
      </c>
      <c r="Y25" s="417">
        <f>'Consumententabel (achtergrond)'!AR119</f>
        <v>3</v>
      </c>
      <c r="Z25" s="405"/>
      <c r="AA25" s="405"/>
      <c r="AB25" s="405"/>
    </row>
    <row r="26" spans="3:28">
      <c r="C26" s="197" t="str">
        <f>'Consumententabel (achtergrond)'!C120</f>
        <v>Hidrostal</v>
      </c>
      <c r="D26" s="196" t="s">
        <v>266</v>
      </c>
      <c r="F26" s="214">
        <f>IF(ISNUMBER('Consumententabel (achtergrond)'!G120),'Consumententabel (achtergrond)'!G120,"")</f>
        <v>0</v>
      </c>
      <c r="G26" s="214">
        <f>IF(ISNUMBER('Consumententabel (achtergrond)'!H120),'Consumententabel (achtergrond)'!H120,"")</f>
        <v>4.3125</v>
      </c>
      <c r="H26" s="214">
        <f>IF(ISNUMBER('Consumententabel (achtergrond)'!I120),'Consumententabel (achtergrond)'!I120,"")</f>
        <v>4.583333333333333</v>
      </c>
      <c r="I26" s="214">
        <f>IF(ISNUMBER('Consumententabel (achtergrond)'!P120),'Consumententabel (achtergrond)'!P120,"")</f>
        <v>7</v>
      </c>
      <c r="J26" s="214">
        <f>IF(ISNUMBER('Consumententabel (achtergrond)'!Q120),'Consumententabel (achtergrond)'!Q120,"")</f>
        <v>3.5</v>
      </c>
      <c r="K26" s="214">
        <f>IF(ISNUMBER('Consumententabel (achtergrond)'!R120),'Consumententabel (achtergrond)'!R120,"")</f>
        <v>7</v>
      </c>
      <c r="M26" s="214">
        <f>IF(ISNUMBER('Consumententabel (achtergrond)'!T120),'Consumententabel (achtergrond)'!T120,"")</f>
        <v>0</v>
      </c>
      <c r="N26" s="214">
        <f>IF(ISNUMBER('Consumententabel (achtergrond)'!U120),'Consumententabel (achtergrond)'!U120,"")</f>
        <v>2.8402401809907354</v>
      </c>
      <c r="O26" s="214">
        <f>IF(ISNUMBER('Consumententabel (achtergrond)'!V120),'Consumententabel (achtergrond)'!V120,"")</f>
        <v>2.9054546402700328</v>
      </c>
      <c r="P26" s="214">
        <f>IF(ISNUMBER('Consumententabel (achtergrond)'!AC120),'Consumententabel (achtergrond)'!AC120,"")</f>
        <v>1.4142135623730951</v>
      </c>
      <c r="Q26" s="214">
        <f>IF(ISNUMBER('Consumententabel (achtergrond)'!AD120),'Consumententabel (achtergrond)'!AD120,"")</f>
        <v>4.9497474683058327</v>
      </c>
      <c r="R26" s="214">
        <f>IF(ISNUMBER('Consumententabel (achtergrond)'!AE120),'Consumententabel (achtergrond)'!AE120,"")</f>
        <v>1.4142135623730951</v>
      </c>
      <c r="S26" s="405"/>
      <c r="T26" s="417">
        <f>'Consumententabel (achtergrond)'!AG120</f>
        <v>4</v>
      </c>
      <c r="U26" s="417">
        <f>'Consumententabel (achtergrond)'!AH120</f>
        <v>8</v>
      </c>
      <c r="V26" s="417">
        <f>'Consumententabel (achtergrond)'!AI120</f>
        <v>6</v>
      </c>
      <c r="W26" s="417">
        <f>'Consumententabel (achtergrond)'!AP120</f>
        <v>2</v>
      </c>
      <c r="X26" s="417">
        <f>'Consumententabel (achtergrond)'!AQ120</f>
        <v>2</v>
      </c>
      <c r="Y26" s="417">
        <f>'Consumententabel (achtergrond)'!AR120</f>
        <v>2</v>
      </c>
      <c r="Z26" s="405"/>
      <c r="AA26" s="405"/>
      <c r="AB26" s="405"/>
    </row>
    <row r="27" spans="3:28">
      <c r="C27" s="197" t="str">
        <f>'Consumententabel (achtergrond)'!C121</f>
        <v>half-axiaal pomp</v>
      </c>
      <c r="D27" s="196" t="s">
        <v>266</v>
      </c>
      <c r="F27" s="214">
        <f>IF(ISNUMBER('Consumententabel (achtergrond)'!G121),'Consumententabel (achtergrond)'!G121,"")</f>
        <v>5.5</v>
      </c>
      <c r="G27" s="214">
        <f>IF(ISNUMBER('Consumententabel (achtergrond)'!H121),'Consumententabel (achtergrond)'!H121,"")</f>
        <v>6.9090909090909092</v>
      </c>
      <c r="H27" s="214">
        <f>IF(ISNUMBER('Consumententabel (achtergrond)'!I121),'Consumententabel (achtergrond)'!I121,"")</f>
        <v>7.166666666666667</v>
      </c>
      <c r="I27" s="214">
        <f>IF(ISNUMBER('Consumententabel (achtergrond)'!P121),'Consumententabel (achtergrond)'!P121,"")</f>
        <v>2.5</v>
      </c>
      <c r="J27" s="214">
        <f>IF(ISNUMBER('Consumententabel (achtergrond)'!Q121),'Consumententabel (achtergrond)'!Q121,"")</f>
        <v>17</v>
      </c>
      <c r="K27" s="214">
        <f>IF(ISNUMBER('Consumententabel (achtergrond)'!R121),'Consumententabel (achtergrond)'!R121,"")</f>
        <v>6.5</v>
      </c>
      <c r="M27" s="214">
        <f>IF(ISNUMBER('Consumententabel (achtergrond)'!T121),'Consumententabel (achtergrond)'!T121,"")</f>
        <v>11</v>
      </c>
      <c r="N27" s="214">
        <f>IF(ISNUMBER('Consumententabel (achtergrond)'!U121),'Consumententabel (achtergrond)'!U121,"")</f>
        <v>7.6217392431720654</v>
      </c>
      <c r="O27" s="214">
        <f>IF(ISNUMBER('Consumententabel (achtergrond)'!V121),'Consumententabel (achtergrond)'!V121,"")</f>
        <v>8.2333394675477081</v>
      </c>
      <c r="P27" s="214">
        <f>IF(ISNUMBER('Consumententabel (achtergrond)'!AC121),'Consumententabel (achtergrond)'!AC121,"")</f>
        <v>2.6457513110645907</v>
      </c>
      <c r="Q27" s="214">
        <f>IF(ISNUMBER('Consumententabel (achtergrond)'!AD121),'Consumententabel (achtergrond)'!AD121,"")</f>
        <v>21.377558326431949</v>
      </c>
      <c r="R27" s="214">
        <f>IF(ISNUMBER('Consumententabel (achtergrond)'!AE121),'Consumententabel (achtergrond)'!AE121,"")</f>
        <v>7.2318738927058179</v>
      </c>
      <c r="S27" s="405"/>
      <c r="T27" s="417">
        <f>'Consumententabel (achtergrond)'!AG121</f>
        <v>4</v>
      </c>
      <c r="U27" s="417">
        <f>'Consumententabel (achtergrond)'!AH121</f>
        <v>11</v>
      </c>
      <c r="V27" s="417">
        <f>'Consumententabel (achtergrond)'!AI121</f>
        <v>12</v>
      </c>
      <c r="W27" s="417">
        <f>'Consumententabel (achtergrond)'!AP121</f>
        <v>4</v>
      </c>
      <c r="X27" s="417">
        <f>'Consumententabel (achtergrond)'!AQ121</f>
        <v>3</v>
      </c>
      <c r="Y27" s="417">
        <f>'Consumententabel (achtergrond)'!AR121</f>
        <v>6</v>
      </c>
      <c r="Z27" s="405"/>
      <c r="AA27" s="405"/>
      <c r="AB27" s="405"/>
    </row>
    <row r="28" spans="3:28">
      <c r="C28" s="197" t="str">
        <f>'Consumententabel (achtergrond)'!C122</f>
        <v>Visvriendelijke Hidrostal</v>
      </c>
      <c r="D28" s="196" t="s">
        <v>266</v>
      </c>
      <c r="F28" s="214">
        <f>IF(ISNUMBER('Consumententabel (achtergrond)'!G122),'Consumententabel (achtergrond)'!G122,"")</f>
        <v>0</v>
      </c>
      <c r="G28" s="214">
        <f>IF(ISNUMBER('Consumententabel (achtergrond)'!H122),'Consumententabel (achtergrond)'!H122,"")</f>
        <v>0</v>
      </c>
      <c r="H28" s="214">
        <f>IF(ISNUMBER('Consumententabel (achtergrond)'!I122),'Consumententabel (achtergrond)'!I122,"")</f>
        <v>0</v>
      </c>
      <c r="I28" s="214">
        <f>IF(ISNUMBER('Consumententabel (achtergrond)'!P122),'Consumententabel (achtergrond)'!P122,"")</f>
        <v>0</v>
      </c>
      <c r="J28" s="214">
        <f>IF(ISNUMBER('Consumententabel (achtergrond)'!Q122),'Consumententabel (achtergrond)'!Q122,"")</f>
        <v>0</v>
      </c>
      <c r="K28" s="214">
        <f>IF(ISNUMBER('Consumententabel (achtergrond)'!R122),'Consumententabel (achtergrond)'!R122,"")</f>
        <v>0</v>
      </c>
      <c r="M28" s="214" t="str">
        <f>IF(ISNUMBER('Consumententabel (achtergrond)'!T122),'Consumententabel (achtergrond)'!T122,"")</f>
        <v/>
      </c>
      <c r="N28" s="214" t="str">
        <f>IF(ISNUMBER('Consumententabel (achtergrond)'!U122),'Consumententabel (achtergrond)'!U122,"")</f>
        <v/>
      </c>
      <c r="O28" s="214" t="str">
        <f>IF(ISNUMBER('Consumententabel (achtergrond)'!V122),'Consumententabel (achtergrond)'!V122,"")</f>
        <v/>
      </c>
      <c r="P28" s="214" t="str">
        <f>IF(ISNUMBER('Consumententabel (achtergrond)'!AC122),'Consumententabel (achtergrond)'!AC122,"")</f>
        <v/>
      </c>
      <c r="Q28" s="214" t="str">
        <f>IF(ISNUMBER('Consumententabel (achtergrond)'!AD122),'Consumententabel (achtergrond)'!AD122,"")</f>
        <v/>
      </c>
      <c r="R28" s="214" t="str">
        <f>IF(ISNUMBER('Consumententabel (achtergrond)'!AE122),'Consumententabel (achtergrond)'!AE122,"")</f>
        <v/>
      </c>
      <c r="S28" s="405"/>
      <c r="T28" s="417">
        <f>'Consumententabel (achtergrond)'!AG122</f>
        <v>1</v>
      </c>
      <c r="U28" s="417">
        <f>'Consumententabel (achtergrond)'!AH122</f>
        <v>1</v>
      </c>
      <c r="V28" s="417">
        <f>'Consumententabel (achtergrond)'!AI122</f>
        <v>1</v>
      </c>
      <c r="W28" s="417">
        <f>'Consumententabel (achtergrond)'!AP122</f>
        <v>1</v>
      </c>
      <c r="X28" s="417">
        <f>'Consumententabel (achtergrond)'!AQ122</f>
        <v>1</v>
      </c>
      <c r="Y28" s="417">
        <f>'Consumententabel (achtergrond)'!AR122</f>
        <v>1</v>
      </c>
      <c r="Z28" s="405"/>
      <c r="AA28" s="405"/>
      <c r="AB28" s="405"/>
    </row>
    <row r="29" spans="3:28">
      <c r="C29" s="197" t="str">
        <f>'Consumententabel (achtergrond)'!C123</f>
        <v>VOPO met stroomomdraaiing</v>
      </c>
      <c r="D29" s="196" t="s">
        <v>266</v>
      </c>
      <c r="F29" s="214" t="str">
        <f>IF(ISNUMBER('Consumententabel (achtergrond)'!G123),'Consumententabel (achtergrond)'!G123,"")</f>
        <v/>
      </c>
      <c r="G29" s="214">
        <f>IF(ISNUMBER('Consumententabel (achtergrond)'!H123),'Consumententabel (achtergrond)'!H123,"")</f>
        <v>6</v>
      </c>
      <c r="H29" s="214">
        <f>IF(ISNUMBER('Consumententabel (achtergrond)'!I123),'Consumententabel (achtergrond)'!I123,"")</f>
        <v>6</v>
      </c>
      <c r="I29" s="214">
        <f>IF(ISNUMBER('Consumententabel (achtergrond)'!P123),'Consumententabel (achtergrond)'!P123,"")</f>
        <v>5</v>
      </c>
      <c r="J29" s="214">
        <f>IF(ISNUMBER('Consumententabel (achtergrond)'!Q123),'Consumententabel (achtergrond)'!Q123,"")</f>
        <v>70</v>
      </c>
      <c r="K29" s="214">
        <f>IF(ISNUMBER('Consumententabel (achtergrond)'!R123),'Consumententabel (achtergrond)'!R123,"")</f>
        <v>6</v>
      </c>
      <c r="M29" s="214" t="str">
        <f>IF(ISNUMBER('Consumententabel (achtergrond)'!T123),'Consumententabel (achtergrond)'!T123,"")</f>
        <v/>
      </c>
      <c r="N29" s="214" t="str">
        <f>IF(ISNUMBER('Consumententabel (achtergrond)'!U123),'Consumententabel (achtergrond)'!U123,"")</f>
        <v/>
      </c>
      <c r="O29" s="214" t="str">
        <f>IF(ISNUMBER('Consumententabel (achtergrond)'!V123),'Consumententabel (achtergrond)'!V123,"")</f>
        <v/>
      </c>
      <c r="P29" s="214" t="str">
        <f>IF(ISNUMBER('Consumententabel (achtergrond)'!AC123),'Consumententabel (achtergrond)'!AC123,"")</f>
        <v/>
      </c>
      <c r="Q29" s="214" t="str">
        <f>IF(ISNUMBER('Consumententabel (achtergrond)'!AD123),'Consumententabel (achtergrond)'!AD123,"")</f>
        <v/>
      </c>
      <c r="R29" s="214" t="str">
        <f>IF(ISNUMBER('Consumententabel (achtergrond)'!AE123),'Consumententabel (achtergrond)'!AE123,"")</f>
        <v/>
      </c>
      <c r="S29" s="405"/>
      <c r="T29" s="417">
        <f>'Consumententabel (achtergrond)'!AG123</f>
        <v>0</v>
      </c>
      <c r="U29" s="417">
        <f>'Consumententabel (achtergrond)'!AH123</f>
        <v>1</v>
      </c>
      <c r="V29" s="417">
        <f>'Consumententabel (achtergrond)'!AI123</f>
        <v>1</v>
      </c>
      <c r="W29" s="417">
        <f>'Consumententabel (achtergrond)'!AP123</f>
        <v>1</v>
      </c>
      <c r="X29" s="417">
        <f>'Consumententabel (achtergrond)'!AQ123</f>
        <v>1</v>
      </c>
      <c r="Y29" s="417">
        <f>'Consumententabel (achtergrond)'!AR123</f>
        <v>1</v>
      </c>
      <c r="Z29" s="405"/>
      <c r="AA29" s="405"/>
      <c r="AB29" s="405"/>
    </row>
    <row r="30" spans="3:28">
      <c r="C30" s="197" t="str">
        <f>'Consumententabel (achtergrond)'!C124</f>
        <v>Nijhuis Bulbpomp</v>
      </c>
      <c r="D30" s="177" t="s">
        <v>42</v>
      </c>
      <c r="F30" s="214">
        <f>IF(ISNUMBER('Consumententabel (achtergrond)'!G124),'Consumententabel (achtergrond)'!G124,"")</f>
        <v>41</v>
      </c>
      <c r="G30" s="214">
        <f>IF(ISNUMBER('Consumententabel (achtergrond)'!H124),'Consumententabel (achtergrond)'!H124,"")</f>
        <v>1</v>
      </c>
      <c r="H30" s="214">
        <f>IF(ISNUMBER('Consumententabel (achtergrond)'!I124),'Consumententabel (achtergrond)'!I124,"")</f>
        <v>3</v>
      </c>
      <c r="I30" s="214">
        <f>IF(ISNUMBER('Consumententabel (achtergrond)'!P124),'Consumententabel (achtergrond)'!P124,"")</f>
        <v>1</v>
      </c>
      <c r="J30" s="214">
        <f>IF(ISNUMBER('Consumententabel (achtergrond)'!Q124),'Consumententabel (achtergrond)'!Q124,"")</f>
        <v>6</v>
      </c>
      <c r="K30" s="214">
        <f>IF(ISNUMBER('Consumententabel (achtergrond)'!R124),'Consumententabel (achtergrond)'!R124,"")</f>
        <v>3</v>
      </c>
      <c r="M30" s="214" t="str">
        <f>IF(ISNUMBER('Consumententabel (achtergrond)'!T124),'Consumententabel (achtergrond)'!T124,"")</f>
        <v/>
      </c>
      <c r="N30" s="214" t="str">
        <f>IF(ISNUMBER('Consumententabel (achtergrond)'!U124),'Consumententabel (achtergrond)'!U124,"")</f>
        <v/>
      </c>
      <c r="O30" s="214" t="str">
        <f>IF(ISNUMBER('Consumententabel (achtergrond)'!V124),'Consumententabel (achtergrond)'!V124,"")</f>
        <v/>
      </c>
      <c r="P30" s="214" t="str">
        <f>IF(ISNUMBER('Consumententabel (achtergrond)'!AC124),'Consumententabel (achtergrond)'!AC124,"")</f>
        <v/>
      </c>
      <c r="Q30" s="214" t="str">
        <f>IF(ISNUMBER('Consumententabel (achtergrond)'!AD124),'Consumententabel (achtergrond)'!AD124,"")</f>
        <v/>
      </c>
      <c r="R30" s="214" t="str">
        <f>IF(ISNUMBER('Consumententabel (achtergrond)'!AE124),'Consumententabel (achtergrond)'!AE124,"")</f>
        <v/>
      </c>
      <c r="S30" s="405"/>
      <c r="T30" s="417">
        <f>'Consumententabel (achtergrond)'!AG124</f>
        <v>1</v>
      </c>
      <c r="U30" s="417">
        <f>'Consumententabel (achtergrond)'!AH124</f>
        <v>1</v>
      </c>
      <c r="V30" s="417">
        <f>'Consumententabel (achtergrond)'!AI124</f>
        <v>1</v>
      </c>
      <c r="W30" s="417">
        <f>'Consumententabel (achtergrond)'!AP124</f>
        <v>1</v>
      </c>
      <c r="X30" s="417">
        <f>'Consumententabel (achtergrond)'!AQ124</f>
        <v>1</v>
      </c>
      <c r="Y30" s="417">
        <f>'Consumententabel (achtergrond)'!AR124</f>
        <v>1</v>
      </c>
      <c r="Z30" s="405"/>
      <c r="AA30" s="405"/>
      <c r="AB30" s="405"/>
    </row>
    <row r="31" spans="3:28">
      <c r="C31" s="197" t="str">
        <f>'Consumententabel (achtergrond)'!C125</f>
        <v>BVOP</v>
      </c>
      <c r="D31" s="177" t="s">
        <v>42</v>
      </c>
      <c r="F31" s="214" t="str">
        <f>IF(ISNUMBER('Consumententabel (achtergrond)'!G125),'Consumententabel (achtergrond)'!G125,"")</f>
        <v/>
      </c>
      <c r="G31" s="214">
        <f>IF(ISNUMBER('Consumententabel (achtergrond)'!H125),'Consumententabel (achtergrond)'!H125,"")</f>
        <v>29.333333333333332</v>
      </c>
      <c r="H31" s="214">
        <f>IF(ISNUMBER('Consumententabel (achtergrond)'!I125),'Consumententabel (achtergrond)'!I125,"")</f>
        <v>29.666666666666668</v>
      </c>
      <c r="I31" s="214">
        <f>IF(ISNUMBER('Consumententabel (achtergrond)'!P125),'Consumententabel (achtergrond)'!P125,"")</f>
        <v>88</v>
      </c>
      <c r="J31" s="214">
        <f>IF(ISNUMBER('Consumententabel (achtergrond)'!Q125),'Consumententabel (achtergrond)'!Q125,"")</f>
        <v>88</v>
      </c>
      <c r="K31" s="214">
        <f>IF(ISNUMBER('Consumententabel (achtergrond)'!R125),'Consumententabel (achtergrond)'!R125,"")</f>
        <v>88</v>
      </c>
      <c r="M31" s="214" t="str">
        <f>IF(ISNUMBER('Consumententabel (achtergrond)'!T125),'Consumententabel (achtergrond)'!T125,"")</f>
        <v/>
      </c>
      <c r="N31" s="214">
        <f>IF(ISNUMBER('Consumententabel (achtergrond)'!U125),'Consumententabel (achtergrond)'!U125,"")</f>
        <v>50.806823688687061</v>
      </c>
      <c r="O31" s="214">
        <f>IF(ISNUMBER('Consumententabel (achtergrond)'!V125),'Consumententabel (achtergrond)'!V125,"")</f>
        <v>50.520622851795217</v>
      </c>
      <c r="P31" s="214" t="str">
        <f>IF(ISNUMBER('Consumententabel (achtergrond)'!AC125),'Consumententabel (achtergrond)'!AC125,"")</f>
        <v/>
      </c>
      <c r="Q31" s="214" t="str">
        <f>IF(ISNUMBER('Consumententabel (achtergrond)'!AD125),'Consumententabel (achtergrond)'!AD125,"")</f>
        <v/>
      </c>
      <c r="R31" s="214" t="str">
        <f>IF(ISNUMBER('Consumententabel (achtergrond)'!AE125),'Consumententabel (achtergrond)'!AE125,"")</f>
        <v/>
      </c>
      <c r="S31" s="405"/>
      <c r="T31" s="417">
        <f>'Consumententabel (achtergrond)'!AG125</f>
        <v>0</v>
      </c>
      <c r="U31" s="417">
        <f>'Consumententabel (achtergrond)'!AH125</f>
        <v>3</v>
      </c>
      <c r="V31" s="417">
        <f>'Consumententabel (achtergrond)'!AI125</f>
        <v>3</v>
      </c>
      <c r="W31" s="417">
        <f>'Consumententabel (achtergrond)'!AP125</f>
        <v>1</v>
      </c>
      <c r="X31" s="417">
        <f>'Consumententabel (achtergrond)'!AQ125</f>
        <v>1</v>
      </c>
      <c r="Y31" s="417">
        <f>'Consumententabel (achtergrond)'!AR125</f>
        <v>1</v>
      </c>
      <c r="Z31" s="405"/>
      <c r="AA31" s="405"/>
      <c r="AB31" s="405"/>
    </row>
    <row r="32" spans="3:28">
      <c r="C32" s="197" t="str">
        <f>'Consumententabel (achtergrond)'!C126</f>
        <v>Gesloten schroefpomp (compact)</v>
      </c>
      <c r="D32" s="177" t="s">
        <v>42</v>
      </c>
      <c r="F32" s="214">
        <f>IF(ISNUMBER('Consumententabel (achtergrond)'!G126),'Consumententabel (achtergrond)'!G126,"")</f>
        <v>0</v>
      </c>
      <c r="G32" s="214">
        <f>IF(ISNUMBER('Consumententabel (achtergrond)'!H126),'Consumententabel (achtergrond)'!H126,"")</f>
        <v>19.2</v>
      </c>
      <c r="H32" s="214">
        <f>IF(ISNUMBER('Consumententabel (achtergrond)'!I126),'Consumententabel (achtergrond)'!I126,"")</f>
        <v>19.2</v>
      </c>
      <c r="I32" s="214">
        <f>IF(ISNUMBER('Consumententabel (achtergrond)'!P126),'Consumententabel (achtergrond)'!P126,"")</f>
        <v>23.75</v>
      </c>
      <c r="J32" s="214">
        <f>IF(ISNUMBER('Consumententabel (achtergrond)'!Q126),'Consumententabel (achtergrond)'!Q126,"")</f>
        <v>31</v>
      </c>
      <c r="K32" s="214">
        <f>IF(ISNUMBER('Consumententabel (achtergrond)'!R126),'Consumententabel (achtergrond)'!R126,"")</f>
        <v>23.75</v>
      </c>
      <c r="M32" s="214" t="str">
        <f>IF(ISNUMBER('Consumententabel (achtergrond)'!T126),'Consumententabel (achtergrond)'!T126,"")</f>
        <v/>
      </c>
      <c r="N32" s="214">
        <f>IF(ISNUMBER('Consumententabel (achtergrond)'!U126),'Consumententabel (achtergrond)'!U126,"")</f>
        <v>33.544000953970894</v>
      </c>
      <c r="O32" s="214">
        <f>IF(ISNUMBER('Consumententabel (achtergrond)'!V126),'Consumententabel (achtergrond)'!V126,"")</f>
        <v>33.544000953970894</v>
      </c>
      <c r="P32" s="214">
        <f>IF(ISNUMBER('Consumententabel (achtergrond)'!AC126),'Consumententabel (achtergrond)'!AC126,"")</f>
        <v>36.908671067921155</v>
      </c>
      <c r="Q32" s="214">
        <f>IF(ISNUMBER('Consumententabel (achtergrond)'!AD126),'Consumententabel (achtergrond)'!AD126,"")</f>
        <v>37.242448899072144</v>
      </c>
      <c r="R32" s="214">
        <f>IF(ISNUMBER('Consumententabel (achtergrond)'!AE126),'Consumententabel (achtergrond)'!AE126,"")</f>
        <v>36.908671067921155</v>
      </c>
      <c r="S32" s="405"/>
      <c r="T32" s="417">
        <f>'Consumententabel (achtergrond)'!AG126</f>
        <v>1</v>
      </c>
      <c r="U32" s="417">
        <f>'Consumententabel (achtergrond)'!AH126</f>
        <v>5</v>
      </c>
      <c r="V32" s="417">
        <f>'Consumententabel (achtergrond)'!AI126</f>
        <v>5</v>
      </c>
      <c r="W32" s="417">
        <f>'Consumententabel (achtergrond)'!AP126</f>
        <v>4</v>
      </c>
      <c r="X32" s="417">
        <f>'Consumententabel (achtergrond)'!AQ126</f>
        <v>3</v>
      </c>
      <c r="Y32" s="417">
        <f>'Consumententabel (achtergrond)'!AR126</f>
        <v>4</v>
      </c>
      <c r="Z32" s="405"/>
      <c r="AA32" s="405"/>
      <c r="AB32" s="405"/>
    </row>
    <row r="33" spans="3:44">
      <c r="C33" s="197" t="str">
        <f>'Consumententabel (achtergrond)'!C127</f>
        <v>Gesloten schroefpomp</v>
      </c>
      <c r="D33" s="177" t="s">
        <v>42</v>
      </c>
      <c r="F33" s="214">
        <f>IF(ISNUMBER('Consumententabel (achtergrond)'!G127),'Consumententabel (achtergrond)'!G127,"")</f>
        <v>32</v>
      </c>
      <c r="G33" s="214">
        <f>IF(ISNUMBER('Consumententabel (achtergrond)'!H127),'Consumententabel (achtergrond)'!H127,"")</f>
        <v>13</v>
      </c>
      <c r="H33" s="214">
        <f>IF(ISNUMBER('Consumententabel (achtergrond)'!I127),'Consumententabel (achtergrond)'!I127,"")</f>
        <v>13.5</v>
      </c>
      <c r="I33" s="214">
        <f>IF(ISNUMBER('Consumententabel (achtergrond)'!P127),'Consumententabel (achtergrond)'!P127,"")</f>
        <v>12.5</v>
      </c>
      <c r="J33" s="214">
        <f>IF(ISNUMBER('Consumententabel (achtergrond)'!Q127),'Consumententabel (achtergrond)'!Q127,"")</f>
        <v>47</v>
      </c>
      <c r="K33" s="214">
        <f>IF(ISNUMBER('Consumententabel (achtergrond)'!R127),'Consumententabel (achtergrond)'!R127,"")</f>
        <v>13.25</v>
      </c>
      <c r="M33" s="214" t="str">
        <f>IF(ISNUMBER('Consumententabel (achtergrond)'!T127),'Consumententabel (achtergrond)'!T127,"")</f>
        <v/>
      </c>
      <c r="N33" s="214">
        <f>IF(ISNUMBER('Consumententabel (achtergrond)'!U127),'Consumententabel (achtergrond)'!U127,"")</f>
        <v>9.9331096171675597</v>
      </c>
      <c r="O33" s="214">
        <f>IF(ISNUMBER('Consumententabel (achtergrond)'!V127),'Consumententabel (achtergrond)'!V127,"")</f>
        <v>9.7467943448089631</v>
      </c>
      <c r="P33" s="214">
        <f>IF(ISNUMBER('Consumententabel (achtergrond)'!AC127),'Consumententabel (achtergrond)'!AC127,"")</f>
        <v>10.503967504392486</v>
      </c>
      <c r="Q33" s="214">
        <f>IF(ISNUMBER('Consumententabel (achtergrond)'!AD127),'Consumententabel (achtergrond)'!AD127,"")</f>
        <v>50.911688245431421</v>
      </c>
      <c r="R33" s="214">
        <f>IF(ISNUMBER('Consumententabel (achtergrond)'!AE127),'Consumententabel (achtergrond)'!AE127,"")</f>
        <v>10.275375094532235</v>
      </c>
      <c r="S33" s="405"/>
      <c r="T33" s="417">
        <f>'Consumententabel (achtergrond)'!AG127</f>
        <v>1</v>
      </c>
      <c r="U33" s="417">
        <f>'Consumententabel (achtergrond)'!AH127</f>
        <v>4</v>
      </c>
      <c r="V33" s="417">
        <f>'Consumententabel (achtergrond)'!AI127</f>
        <v>4</v>
      </c>
      <c r="W33" s="417">
        <f>'Consumententabel (achtergrond)'!AP127</f>
        <v>4</v>
      </c>
      <c r="X33" s="417">
        <f>'Consumententabel (achtergrond)'!AQ127</f>
        <v>2</v>
      </c>
      <c r="Y33" s="417">
        <f>'Consumententabel (achtergrond)'!AR127</f>
        <v>4</v>
      </c>
      <c r="Z33" s="405"/>
      <c r="AA33" s="405"/>
      <c r="AB33" s="405"/>
    </row>
    <row r="34" spans="3:44">
      <c r="C34" s="197" t="str">
        <f>'Consumententabel (achtergrond)'!C128</f>
        <v>Gesloten schroefpomp FFI</v>
      </c>
      <c r="D34" s="177" t="s">
        <v>42</v>
      </c>
      <c r="F34" s="214">
        <f>IF(ISNUMBER('Consumententabel (achtergrond)'!G128),'Consumententabel (achtergrond)'!G128,"")</f>
        <v>0</v>
      </c>
      <c r="G34" s="214">
        <f>IF(ISNUMBER('Consumententabel (achtergrond)'!H128),'Consumententabel (achtergrond)'!H128,"")</f>
        <v>0</v>
      </c>
      <c r="H34" s="214">
        <f>IF(ISNUMBER('Consumententabel (achtergrond)'!I128),'Consumententabel (achtergrond)'!I128,"")</f>
        <v>0</v>
      </c>
      <c r="I34" s="214">
        <f>IF(ISNUMBER('Consumententabel (achtergrond)'!P128),'Consumententabel (achtergrond)'!P128,"")</f>
        <v>0</v>
      </c>
      <c r="J34" s="214">
        <f>IF(ISNUMBER('Consumententabel (achtergrond)'!Q128),'Consumententabel (achtergrond)'!Q128,"")</f>
        <v>0</v>
      </c>
      <c r="K34" s="214">
        <f>IF(ISNUMBER('Consumententabel (achtergrond)'!R128),'Consumententabel (achtergrond)'!R128,"")</f>
        <v>0</v>
      </c>
      <c r="M34" s="214">
        <f>IF(ISNUMBER('Consumententabel (achtergrond)'!T128),'Consumententabel (achtergrond)'!T128,"")</f>
        <v>0</v>
      </c>
      <c r="N34" s="214">
        <f>IF(ISNUMBER('Consumententabel (achtergrond)'!U128),'Consumententabel (achtergrond)'!U128,"")</f>
        <v>0</v>
      </c>
      <c r="O34" s="214">
        <f>IF(ISNUMBER('Consumententabel (achtergrond)'!V128),'Consumententabel (achtergrond)'!V128,"")</f>
        <v>0</v>
      </c>
      <c r="P34" s="214">
        <f>IF(ISNUMBER('Consumententabel (achtergrond)'!AC128),'Consumententabel (achtergrond)'!AC128,"")</f>
        <v>0</v>
      </c>
      <c r="Q34" s="214">
        <f>IF(ISNUMBER('Consumententabel (achtergrond)'!AD128),'Consumententabel (achtergrond)'!AD128,"")</f>
        <v>0</v>
      </c>
      <c r="R34" s="214">
        <f>IF(ISNUMBER('Consumententabel (achtergrond)'!AE128),'Consumententabel (achtergrond)'!AE128,"")</f>
        <v>0</v>
      </c>
      <c r="S34" s="405"/>
      <c r="T34" s="417">
        <f>'Consumententabel (achtergrond)'!AG128</f>
        <v>2</v>
      </c>
      <c r="U34" s="417">
        <f>'Consumententabel (achtergrond)'!AH128</f>
        <v>2</v>
      </c>
      <c r="V34" s="417">
        <f>'Consumententabel (achtergrond)'!AI128</f>
        <v>2</v>
      </c>
      <c r="W34" s="417">
        <f>'Consumententabel (achtergrond)'!AP128</f>
        <v>2</v>
      </c>
      <c r="X34" s="417">
        <f>'Consumententabel (achtergrond)'!AQ128</f>
        <v>2</v>
      </c>
      <c r="Y34" s="417">
        <f>'Consumententabel (achtergrond)'!AR128</f>
        <v>2</v>
      </c>
      <c r="Z34" s="405"/>
      <c r="AA34" s="405"/>
      <c r="AB34" s="405"/>
    </row>
    <row r="35" spans="3:44">
      <c r="C35" s="197" t="str">
        <f>'Consumententabel (achtergrond)'!C129</f>
        <v>Horizontale schroefpomp (kattenrug)</v>
      </c>
      <c r="D35" s="177" t="s">
        <v>42</v>
      </c>
      <c r="F35" s="214">
        <f>IF(ISNUMBER('Consumententabel (achtergrond)'!G129),'Consumententabel (achtergrond)'!G129,"")</f>
        <v>12.666666666666666</v>
      </c>
      <c r="G35" s="214">
        <f>IF(ISNUMBER('Consumententabel (achtergrond)'!H129),'Consumententabel (achtergrond)'!H129,"")</f>
        <v>5.2</v>
      </c>
      <c r="H35" s="214">
        <f>IF(ISNUMBER('Consumententabel (achtergrond)'!I129),'Consumententabel (achtergrond)'!I129,"")</f>
        <v>5</v>
      </c>
      <c r="I35" s="214" t="str">
        <f>IF(ISNUMBER('Consumententabel (achtergrond)'!P129),'Consumententabel (achtergrond)'!P129,"")</f>
        <v/>
      </c>
      <c r="J35" s="214" t="str">
        <f>IF(ISNUMBER('Consumententabel (achtergrond)'!Q129),'Consumententabel (achtergrond)'!Q129,"")</f>
        <v/>
      </c>
      <c r="K35" s="214">
        <f>IF(ISNUMBER('Consumententabel (achtergrond)'!R129),'Consumententabel (achtergrond)'!R129,"")</f>
        <v>3</v>
      </c>
      <c r="M35" s="214">
        <f>IF(ISNUMBER('Consumententabel (achtergrond)'!T129),'Consumententabel (achtergrond)'!T129,"")</f>
        <v>17.7857620959388</v>
      </c>
      <c r="N35" s="214">
        <f>IF(ISNUMBER('Consumententabel (achtergrond)'!U129),'Consumententabel (achtergrond)'!U129,"")</f>
        <v>7.8549347546621924</v>
      </c>
      <c r="O35" s="214">
        <f>IF(ISNUMBER('Consumententabel (achtergrond)'!V129),'Consumententabel (achtergrond)'!V129,"")</f>
        <v>7.9686887252546139</v>
      </c>
      <c r="P35" s="214" t="str">
        <f>IF(ISNUMBER('Consumententabel (achtergrond)'!AC129),'Consumententabel (achtergrond)'!AC129,"")</f>
        <v/>
      </c>
      <c r="Q35" s="214" t="str">
        <f>IF(ISNUMBER('Consumententabel (achtergrond)'!AD129),'Consumententabel (achtergrond)'!AD129,"")</f>
        <v/>
      </c>
      <c r="R35" s="214">
        <f>IF(ISNUMBER('Consumententabel (achtergrond)'!AE129),'Consumententabel (achtergrond)'!AE129,"")</f>
        <v>2.8284271247461903</v>
      </c>
      <c r="S35" s="405"/>
      <c r="T35" s="417">
        <f>'Consumententabel (achtergrond)'!AG129</f>
        <v>3</v>
      </c>
      <c r="U35" s="417">
        <f>'Consumententabel (achtergrond)'!AH129</f>
        <v>5</v>
      </c>
      <c r="V35" s="417">
        <f>'Consumententabel (achtergrond)'!AI129</f>
        <v>5</v>
      </c>
      <c r="W35" s="417">
        <f>'Consumententabel (achtergrond)'!AP129</f>
        <v>0</v>
      </c>
      <c r="X35" s="417">
        <f>'Consumententabel (achtergrond)'!AQ129</f>
        <v>0</v>
      </c>
      <c r="Y35" s="417">
        <f>'Consumententabel (achtergrond)'!AR129</f>
        <v>2</v>
      </c>
      <c r="Z35" s="405"/>
      <c r="AA35" s="405"/>
      <c r="AB35" s="405"/>
    </row>
    <row r="36" spans="3:44">
      <c r="C36" s="197" t="str">
        <f>'Consumententabel (achtergrond)'!C130</f>
        <v>Open schroefpomp</v>
      </c>
      <c r="D36" s="177" t="s">
        <v>42</v>
      </c>
      <c r="F36" s="214">
        <f>IF(ISNUMBER('Consumententabel (achtergrond)'!G130),'Consumententabel (achtergrond)'!G130,"")</f>
        <v>15.333333333333334</v>
      </c>
      <c r="G36" s="214">
        <f>IF(ISNUMBER('Consumententabel (achtergrond)'!H130),'Consumententabel (achtergrond)'!H130,"")</f>
        <v>25.833333333333332</v>
      </c>
      <c r="H36" s="214">
        <f>IF(ISNUMBER('Consumententabel (achtergrond)'!I130),'Consumententabel (achtergrond)'!I130,"")</f>
        <v>26.333333333333332</v>
      </c>
      <c r="I36" s="214">
        <f>IF(ISNUMBER('Consumententabel (achtergrond)'!P130),'Consumententabel (achtergrond)'!P130,"")</f>
        <v>9</v>
      </c>
      <c r="J36" s="214">
        <f>IF(ISNUMBER('Consumententabel (achtergrond)'!Q130),'Consumententabel (achtergrond)'!Q130,"")</f>
        <v>21.5</v>
      </c>
      <c r="K36" s="214">
        <f>IF(ISNUMBER('Consumententabel (achtergrond)'!R130),'Consumententabel (achtergrond)'!R130,"")</f>
        <v>10.25</v>
      </c>
      <c r="M36" s="214">
        <f>IF(ISNUMBER('Consumententabel (achtergrond)'!T130),'Consumententabel (achtergrond)'!T130,"")</f>
        <v>20.033305601755625</v>
      </c>
      <c r="N36" s="214">
        <f>IF(ISNUMBER('Consumententabel (achtergrond)'!U130),'Consumententabel (achtergrond)'!U130,"")</f>
        <v>37.188259796159684</v>
      </c>
      <c r="O36" s="214">
        <f>IF(ISNUMBER('Consumententabel (achtergrond)'!V130),'Consumententabel (achtergrond)'!V130,"")</f>
        <v>37.087284433706749</v>
      </c>
      <c r="P36" s="214">
        <f>IF(ISNUMBER('Consumententabel (achtergrond)'!AC130),'Consumententabel (achtergrond)'!AC130,"")</f>
        <v>9.3808315196468595</v>
      </c>
      <c r="Q36" s="214">
        <f>IF(ISNUMBER('Consumententabel (achtergrond)'!AD130),'Consumententabel (achtergrond)'!AD130,"")</f>
        <v>30.405591591021544</v>
      </c>
      <c r="R36" s="214">
        <f>IF(ISNUMBER('Consumententabel (achtergrond)'!AE130),'Consumententabel (achtergrond)'!AE130,"")</f>
        <v>10.144785195688801</v>
      </c>
      <c r="S36" s="405"/>
      <c r="T36" s="417">
        <f>'Consumententabel (achtergrond)'!AG130</f>
        <v>3</v>
      </c>
      <c r="U36" s="417">
        <f>'Consumententabel (achtergrond)'!AH130</f>
        <v>6</v>
      </c>
      <c r="V36" s="417">
        <f>'Consumententabel (achtergrond)'!AI130</f>
        <v>6</v>
      </c>
      <c r="W36" s="417">
        <f>'Consumententabel (achtergrond)'!AP130</f>
        <v>4</v>
      </c>
      <c r="X36" s="417">
        <f>'Consumententabel (achtergrond)'!AQ130</f>
        <v>2</v>
      </c>
      <c r="Y36" s="417">
        <f>'Consumententabel (achtergrond)'!AR130</f>
        <v>4</v>
      </c>
      <c r="Z36" s="405"/>
      <c r="AA36" s="405"/>
      <c r="AB36" s="405"/>
    </row>
    <row r="37" spans="3:44">
      <c r="C37" s="197" t="str">
        <f>'Consumententabel (achtergrond)'!C131</f>
        <v>Schroefpomp</v>
      </c>
      <c r="D37" s="177" t="s">
        <v>42</v>
      </c>
      <c r="F37" s="214">
        <f>IF(ISNUMBER('Consumententabel (achtergrond)'!G131),'Consumententabel (achtergrond)'!G131,"")</f>
        <v>67</v>
      </c>
      <c r="G37" s="214">
        <f>IF(ISNUMBER('Consumententabel (achtergrond)'!H131),'Consumententabel (achtergrond)'!H131,"")</f>
        <v>17.8</v>
      </c>
      <c r="H37" s="214">
        <f>IF(ISNUMBER('Consumententabel (achtergrond)'!I131),'Consumententabel (achtergrond)'!I131,"")</f>
        <v>19.2</v>
      </c>
      <c r="I37" s="214">
        <f>IF(ISNUMBER('Consumententabel (achtergrond)'!P131),'Consumententabel (achtergrond)'!P131,"")</f>
        <v>21</v>
      </c>
      <c r="J37" s="214">
        <f>IF(ISNUMBER('Consumententabel (achtergrond)'!Q131),'Consumententabel (achtergrond)'!Q131,"")</f>
        <v>32</v>
      </c>
      <c r="K37" s="214">
        <f>IF(ISNUMBER('Consumententabel (achtergrond)'!R131),'Consumententabel (achtergrond)'!R131,"")</f>
        <v>21.5</v>
      </c>
      <c r="M37" s="214">
        <f>IF(ISNUMBER('Consumententabel (achtergrond)'!T131),'Consumententabel (achtergrond)'!T131,"")</f>
        <v>57.157676649772952</v>
      </c>
      <c r="N37" s="214">
        <f>IF(ISNUMBER('Consumententabel (achtergrond)'!U131),'Consumententabel (achtergrond)'!U131,"")</f>
        <v>22.498888861452691</v>
      </c>
      <c r="O37" s="214">
        <f>IF(ISNUMBER('Consumententabel (achtergrond)'!V131),'Consumententabel (achtergrond)'!V131,"")</f>
        <v>24.631280924872748</v>
      </c>
      <c r="P37" s="214">
        <f>IF(ISNUMBER('Consumententabel (achtergrond)'!AC131),'Consumententabel (achtergrond)'!AC131,"")</f>
        <v>21.213203435596427</v>
      </c>
      <c r="Q37" s="214">
        <f>IF(ISNUMBER('Consumententabel (achtergrond)'!AD131),'Consumententabel (achtergrond)'!AD131,"")</f>
        <v>45.254833995939045</v>
      </c>
      <c r="R37" s="214">
        <f>IF(ISNUMBER('Consumententabel (achtergrond)'!AE131),'Consumententabel (achtergrond)'!AE131,"")</f>
        <v>22.037846234754127</v>
      </c>
      <c r="S37" s="405"/>
      <c r="T37" s="417">
        <f>'Consumententabel (achtergrond)'!AG131</f>
        <v>3</v>
      </c>
      <c r="U37" s="417">
        <f>'Consumententabel (achtergrond)'!AH131</f>
        <v>5</v>
      </c>
      <c r="V37" s="417">
        <f>'Consumententabel (achtergrond)'!AI131</f>
        <v>5</v>
      </c>
      <c r="W37" s="417">
        <f>'Consumententabel (achtergrond)'!AP131</f>
        <v>4</v>
      </c>
      <c r="X37" s="417">
        <f>'Consumententabel (achtergrond)'!AQ131</f>
        <v>2</v>
      </c>
      <c r="Y37" s="417">
        <f>'Consumententabel (achtergrond)'!AR131</f>
        <v>4</v>
      </c>
      <c r="Z37" s="405"/>
      <c r="AA37" s="405"/>
      <c r="AB37" s="405"/>
    </row>
    <row r="38" spans="3:44">
      <c r="C38" s="197" t="str">
        <f>'Consumententabel (achtergrond)'!C132</f>
        <v>Faunapomp</v>
      </c>
      <c r="D38" s="177" t="s">
        <v>281</v>
      </c>
      <c r="F38" s="214" t="str">
        <f>IF(ISNUMBER('Consumententabel (achtergrond)'!G132),'Consumententabel (achtergrond)'!G132,"")</f>
        <v/>
      </c>
      <c r="G38" s="214">
        <f>IF(ISNUMBER('Consumententabel (achtergrond)'!H132),'Consumententabel (achtergrond)'!H132,"")</f>
        <v>0</v>
      </c>
      <c r="H38" s="214">
        <f>IF(ISNUMBER('Consumententabel (achtergrond)'!I132),'Consumententabel (achtergrond)'!I132,"")</f>
        <v>0</v>
      </c>
      <c r="I38" s="214">
        <f>IF(ISNUMBER('Consumententabel (achtergrond)'!P132),'Consumententabel (achtergrond)'!P132,"")</f>
        <v>0</v>
      </c>
      <c r="J38" s="214">
        <f>IF(ISNUMBER('Consumententabel (achtergrond)'!Q132),'Consumententabel (achtergrond)'!Q132,"")</f>
        <v>0</v>
      </c>
      <c r="K38" s="214">
        <f>IF(ISNUMBER('Consumententabel (achtergrond)'!R132),'Consumententabel (achtergrond)'!R132,"")</f>
        <v>0</v>
      </c>
      <c r="M38" s="214" t="str">
        <f>IF(ISNUMBER('Consumententabel (achtergrond)'!T132),'Consumententabel (achtergrond)'!T132,"")</f>
        <v/>
      </c>
      <c r="N38" s="214" t="str">
        <f>IF(ISNUMBER('Consumententabel (achtergrond)'!U132),'Consumententabel (achtergrond)'!U132,"")</f>
        <v/>
      </c>
      <c r="O38" s="214" t="str">
        <f>IF(ISNUMBER('Consumententabel (achtergrond)'!V132),'Consumententabel (achtergrond)'!V132,"")</f>
        <v/>
      </c>
      <c r="P38" s="214" t="str">
        <f>IF(ISNUMBER('Consumententabel (achtergrond)'!AC132),'Consumententabel (achtergrond)'!AC132,"")</f>
        <v/>
      </c>
      <c r="Q38" s="214" t="str">
        <f>IF(ISNUMBER('Consumententabel (achtergrond)'!AD132),'Consumententabel (achtergrond)'!AD132,"")</f>
        <v/>
      </c>
      <c r="R38" s="214" t="str">
        <f>IF(ISNUMBER('Consumententabel (achtergrond)'!AE132),'Consumententabel (achtergrond)'!AE132,"")</f>
        <v/>
      </c>
      <c r="S38" s="405"/>
      <c r="T38" s="417">
        <f>'Consumententabel (achtergrond)'!AG132</f>
        <v>0</v>
      </c>
      <c r="U38" s="417">
        <f>'Consumententabel (achtergrond)'!AH132</f>
        <v>1</v>
      </c>
      <c r="V38" s="417">
        <f>'Consumententabel (achtergrond)'!AI132</f>
        <v>1</v>
      </c>
      <c r="W38" s="417">
        <f>'Consumententabel (achtergrond)'!AP132</f>
        <v>1</v>
      </c>
      <c r="X38" s="417">
        <f>'Consumententabel (achtergrond)'!AQ132</f>
        <v>1</v>
      </c>
      <c r="Y38" s="417">
        <f>'Consumententabel (achtergrond)'!AR132</f>
        <v>1</v>
      </c>
      <c r="Z38" s="405"/>
      <c r="AA38" s="405"/>
      <c r="AB38" s="405"/>
    </row>
    <row r="39" spans="3:44">
      <c r="C39" s="197" t="str">
        <f>'Consumententabel (achtergrond)'!C133</f>
        <v>Schepradgemaal</v>
      </c>
      <c r="D39" s="177" t="s">
        <v>276</v>
      </c>
      <c r="F39" s="214" t="str">
        <f>IF(ISNUMBER('Consumententabel (achtergrond)'!G133),'Consumententabel (achtergrond)'!G133,"")</f>
        <v/>
      </c>
      <c r="G39" s="214">
        <f>IF(ISNUMBER('Consumententabel (achtergrond)'!H133),'Consumententabel (achtergrond)'!H133,"")</f>
        <v>0</v>
      </c>
      <c r="H39" s="214">
        <f>IF(ISNUMBER('Consumententabel (achtergrond)'!I133),'Consumententabel (achtergrond)'!I133,"")</f>
        <v>0</v>
      </c>
      <c r="I39" s="214">
        <f>IF(ISNUMBER('Consumententabel (achtergrond)'!P133),'Consumententabel (achtergrond)'!P133,"")</f>
        <v>0</v>
      </c>
      <c r="J39" s="214">
        <f>IF(ISNUMBER('Consumententabel (achtergrond)'!Q133),'Consumententabel (achtergrond)'!Q133,"")</f>
        <v>0</v>
      </c>
      <c r="K39" s="214">
        <f>IF(ISNUMBER('Consumententabel (achtergrond)'!R133),'Consumententabel (achtergrond)'!R133,"")</f>
        <v>0</v>
      </c>
      <c r="M39" s="214"/>
      <c r="N39" s="214"/>
      <c r="O39" s="214"/>
      <c r="P39" s="214"/>
      <c r="Q39" s="214"/>
      <c r="R39" s="214"/>
      <c r="S39" s="405"/>
      <c r="T39" s="417">
        <f>'Consumententabel (achtergrond)'!AG133</f>
        <v>0</v>
      </c>
      <c r="U39" s="417">
        <f>'Consumententabel (achtergrond)'!AH133</f>
        <v>1</v>
      </c>
      <c r="V39" s="417">
        <f>'Consumententabel (achtergrond)'!AI133</f>
        <v>1</v>
      </c>
      <c r="W39" s="417">
        <f>'Consumententabel (achtergrond)'!AP133</f>
        <v>1</v>
      </c>
      <c r="X39" s="417">
        <f>'Consumententabel (achtergrond)'!AQ133</f>
        <v>1</v>
      </c>
      <c r="Y39" s="417">
        <f>'Consumententabel (achtergrond)'!AR133</f>
        <v>1</v>
      </c>
      <c r="Z39" s="405"/>
      <c r="AA39" s="405"/>
      <c r="AB39" s="405"/>
    </row>
    <row r="40" spans="3:44">
      <c r="P40" s="177"/>
      <c r="S40" s="405"/>
      <c r="T40" s="416"/>
      <c r="U40" s="416"/>
      <c r="V40" s="416"/>
      <c r="W40" s="416"/>
      <c r="X40" s="416"/>
      <c r="Y40" s="416"/>
      <c r="Z40" s="405"/>
      <c r="AA40" s="405"/>
      <c r="AB40" s="405"/>
    </row>
    <row r="41" spans="3:44">
      <c r="C41" s="215"/>
      <c r="F41" s="285"/>
      <c r="H41" s="197" t="s">
        <v>368</v>
      </c>
      <c r="P41" s="177"/>
      <c r="S41" s="405"/>
      <c r="T41" s="405"/>
      <c r="U41" s="405"/>
      <c r="V41" s="405"/>
      <c r="W41" s="405"/>
      <c r="X41" s="405"/>
      <c r="Y41" s="405"/>
      <c r="Z41" s="405"/>
      <c r="AA41" s="405"/>
      <c r="AB41" s="405"/>
    </row>
    <row r="42" spans="3:44">
      <c r="C42" s="215"/>
      <c r="F42" s="285"/>
      <c r="H42" s="197" t="s">
        <v>369</v>
      </c>
      <c r="P42" s="177"/>
      <c r="S42" s="405"/>
      <c r="T42" s="405"/>
      <c r="U42" s="405"/>
      <c r="V42" s="405"/>
      <c r="W42" s="405"/>
      <c r="X42" s="405"/>
      <c r="Y42" s="405"/>
      <c r="Z42" s="405"/>
      <c r="AA42" s="405"/>
      <c r="AB42" s="405"/>
    </row>
    <row r="43" spans="3:44">
      <c r="H43" s="211" t="s">
        <v>372</v>
      </c>
      <c r="P43" s="177"/>
    </row>
    <row r="44" spans="3:44">
      <c r="H44" s="348" t="s">
        <v>371</v>
      </c>
      <c r="P44" s="177"/>
      <c r="T44" s="206"/>
      <c r="U44" s="206"/>
      <c r="V44" s="206"/>
      <c r="W44" s="206"/>
      <c r="X44" s="206"/>
      <c r="Y44" s="206"/>
      <c r="Z44" s="206"/>
      <c r="AA44" s="206"/>
      <c r="AB44" s="206"/>
      <c r="AC44" s="206"/>
      <c r="AD44" s="206"/>
      <c r="AE44" s="206"/>
      <c r="AF44" s="206"/>
      <c r="AG44" s="206"/>
      <c r="AH44" s="206"/>
      <c r="AI44" s="206"/>
      <c r="AJ44" s="206"/>
      <c r="AK44" s="206"/>
      <c r="AL44" s="206"/>
      <c r="AM44" s="206"/>
      <c r="AN44" s="206"/>
      <c r="AO44" s="206"/>
      <c r="AP44" s="206"/>
      <c r="AQ44" s="206"/>
      <c r="AR44" s="206"/>
    </row>
    <row r="45" spans="3:44">
      <c r="H45" s="349" t="s">
        <v>370</v>
      </c>
      <c r="P45" s="177"/>
      <c r="T45" s="206"/>
      <c r="U45" s="206"/>
      <c r="V45" s="206"/>
      <c r="W45" s="206"/>
      <c r="X45" s="206"/>
      <c r="Y45" s="206"/>
      <c r="Z45" s="206"/>
      <c r="AA45" s="206"/>
      <c r="AB45" s="206"/>
      <c r="AC45" s="206"/>
      <c r="AD45" s="206"/>
      <c r="AE45" s="206"/>
      <c r="AF45" s="206"/>
      <c r="AG45" s="206"/>
      <c r="AH45" s="206"/>
      <c r="AI45" s="206"/>
      <c r="AJ45" s="206"/>
      <c r="AK45" s="206"/>
      <c r="AL45" s="206"/>
      <c r="AM45" s="206"/>
      <c r="AN45" s="206"/>
      <c r="AO45" s="206"/>
      <c r="AP45" s="206"/>
      <c r="AQ45" s="206"/>
      <c r="AR45" s="206"/>
    </row>
    <row r="46" spans="3:44">
      <c r="O46" s="450"/>
      <c r="P46" s="451"/>
      <c r="Q46" s="450"/>
      <c r="R46" s="450"/>
      <c r="S46" s="450"/>
      <c r="T46" s="450"/>
      <c r="U46" s="450"/>
      <c r="V46" s="450"/>
      <c r="W46" s="450"/>
      <c r="X46" s="450"/>
      <c r="Y46" s="450"/>
      <c r="Z46" s="450"/>
      <c r="AA46" s="450"/>
      <c r="AB46" s="450"/>
      <c r="AC46" s="450"/>
      <c r="AD46" s="450"/>
      <c r="AE46" s="450"/>
      <c r="AF46" s="450"/>
      <c r="AG46" s="450"/>
      <c r="AH46" s="450"/>
      <c r="AI46" s="450"/>
      <c r="AJ46" s="450"/>
      <c r="AK46" s="206"/>
      <c r="AL46" s="206"/>
      <c r="AM46" s="206"/>
      <c r="AN46" s="206"/>
      <c r="AO46" s="206"/>
      <c r="AP46" s="206"/>
      <c r="AQ46" s="206"/>
      <c r="AR46" s="206"/>
    </row>
    <row r="47" spans="3:44">
      <c r="C47" s="273" t="s">
        <v>365</v>
      </c>
      <c r="O47" s="451"/>
      <c r="P47" s="452"/>
      <c r="Q47" s="450"/>
      <c r="R47" s="450"/>
      <c r="S47" s="450"/>
      <c r="T47" s="450"/>
      <c r="U47" s="450"/>
      <c r="V47" s="450" t="s">
        <v>354</v>
      </c>
      <c r="W47" s="450"/>
      <c r="X47" s="450"/>
      <c r="Y47" s="450"/>
      <c r="Z47" s="450"/>
      <c r="AA47" s="450"/>
      <c r="AB47" s="450"/>
      <c r="AC47" s="450" t="s">
        <v>355</v>
      </c>
      <c r="AD47" s="450"/>
      <c r="AE47" s="450"/>
      <c r="AF47" s="450"/>
      <c r="AG47" s="450"/>
      <c r="AH47" s="450"/>
      <c r="AI47" s="450"/>
      <c r="AJ47" s="450"/>
      <c r="AK47" s="206"/>
      <c r="AL47" s="206"/>
      <c r="AM47" s="206"/>
    </row>
    <row r="48" spans="3:44" ht="81">
      <c r="C48" s="223" t="s">
        <v>337</v>
      </c>
      <c r="D48" s="223" t="s">
        <v>252</v>
      </c>
      <c r="E48" s="223"/>
      <c r="F48" s="225" t="str">
        <f t="shared" ref="F48:K48" si="0">F16</f>
        <v>aal</v>
      </c>
      <c r="G48" s="225" t="str">
        <f t="shared" si="0"/>
        <v xml:space="preserve">overige vissoorten </v>
      </c>
      <c r="H48" s="225" t="str">
        <f t="shared" si="0"/>
        <v>totaal</v>
      </c>
      <c r="I48" s="225" t="str">
        <f t="shared" si="0"/>
        <v>schubvis &lt;15cm</v>
      </c>
      <c r="J48" s="225" t="str">
        <f t="shared" si="0"/>
        <v>schubvis &gt;15cm</v>
      </c>
      <c r="K48" s="225" t="str">
        <f t="shared" si="0"/>
        <v>totaal schubvis</v>
      </c>
      <c r="L48" s="333"/>
      <c r="M48" s="333"/>
      <c r="N48" s="333"/>
      <c r="O48" s="453"/>
      <c r="P48" s="453"/>
      <c r="Q48" s="453"/>
      <c r="R48" s="453"/>
      <c r="S48" s="453"/>
      <c r="T48" s="453"/>
      <c r="U48" s="450"/>
      <c r="V48" s="453" t="str">
        <f>'Consumententabel (achtergrond)'!AT110</f>
        <v>aal</v>
      </c>
      <c r="W48" s="453" t="str">
        <f>'Consumententabel (achtergrond)'!AU110</f>
        <v xml:space="preserve">overige vissoorten </v>
      </c>
      <c r="X48" s="453" t="str">
        <f>'Consumententabel (achtergrond)'!AV110</f>
        <v>totaal</v>
      </c>
      <c r="Y48" s="453" t="str">
        <f>'Consumententabel (achtergrond)'!BC110</f>
        <v>schubvis &lt;15cm</v>
      </c>
      <c r="Z48" s="453" t="str">
        <f>'Consumententabel (achtergrond)'!BD110</f>
        <v>schubvis &gt;15cm</v>
      </c>
      <c r="AA48" s="453" t="str">
        <f>'Consumententabel (achtergrond)'!BE110</f>
        <v>totaal schubvis</v>
      </c>
      <c r="AB48" s="453"/>
      <c r="AC48" s="453" t="str">
        <f>'Consumententabel (achtergrond)'!BG110</f>
        <v>aal</v>
      </c>
      <c r="AD48" s="453" t="str">
        <f>'Consumententabel (achtergrond)'!BH110</f>
        <v xml:space="preserve">overige vissoorten </v>
      </c>
      <c r="AE48" s="453" t="str">
        <f>'Consumententabel (achtergrond)'!BI110</f>
        <v>totaal</v>
      </c>
      <c r="AF48" s="453" t="str">
        <f>'Consumententabel (achtergrond)'!BP110</f>
        <v>schubvis &lt;15cm</v>
      </c>
      <c r="AG48" s="453" t="str">
        <f>'Consumententabel (achtergrond)'!BQ110</f>
        <v>schubvis &gt;15cm</v>
      </c>
      <c r="AH48" s="453" t="str">
        <f>'Consumententabel (achtergrond)'!BR110</f>
        <v>totaal schubvis</v>
      </c>
      <c r="AI48" s="450"/>
      <c r="AJ48" s="450"/>
      <c r="AK48" s="206"/>
      <c r="AL48" s="206"/>
      <c r="AM48" s="206"/>
    </row>
    <row r="49" spans="3:39">
      <c r="C49" s="197" t="str">
        <f t="shared" ref="C49:D53" si="1">C17</f>
        <v>Buisvijzel FFI</v>
      </c>
      <c r="D49" s="197" t="str">
        <f t="shared" si="1"/>
        <v>Vijzel</v>
      </c>
      <c r="F49" s="214">
        <f t="shared" ref="F49:K49" si="2">IF(ISNUMBER(F17),100-F17,"")</f>
        <v>100</v>
      </c>
      <c r="G49" s="214">
        <f t="shared" si="2"/>
        <v>99.333333333333329</v>
      </c>
      <c r="H49" s="214">
        <f t="shared" si="2"/>
        <v>99.333333333333329</v>
      </c>
      <c r="I49" s="214">
        <f t="shared" si="2"/>
        <v>99.333333333333329</v>
      </c>
      <c r="J49" s="214">
        <f t="shared" si="2"/>
        <v>98.666666666666671</v>
      </c>
      <c r="K49" s="214">
        <f t="shared" si="2"/>
        <v>99.333333333333329</v>
      </c>
      <c r="L49" s="334"/>
      <c r="M49" s="334"/>
      <c r="N49" s="334"/>
      <c r="O49" s="450"/>
      <c r="P49" s="450"/>
      <c r="Q49" s="454"/>
      <c r="R49" s="454"/>
      <c r="S49" s="450"/>
      <c r="T49" s="450"/>
      <c r="U49" s="450" t="str">
        <f>C81</f>
        <v>Buisvijzel FFI</v>
      </c>
      <c r="V49" s="450">
        <f>100-('Consumententabel (achtergrond)'!AT111)</f>
        <v>100</v>
      </c>
      <c r="W49" s="450">
        <f>100-('Consumententabel (achtergrond)'!AU111)</f>
        <v>100</v>
      </c>
      <c r="X49" s="450">
        <f>100-('Consumententabel (achtergrond)'!AV111)</f>
        <v>100</v>
      </c>
      <c r="Y49" s="450">
        <f>100-('Consumententabel (achtergrond)'!BC111)</f>
        <v>100</v>
      </c>
      <c r="Z49" s="450">
        <f>100-('Consumententabel (achtergrond)'!BD111)</f>
        <v>100</v>
      </c>
      <c r="AA49" s="450">
        <f>100-('Consumententabel (achtergrond)'!BE111)</f>
        <v>100</v>
      </c>
      <c r="AB49" s="450"/>
      <c r="AC49" s="450">
        <f>100-('Consumententabel (achtergrond)'!BG111)</f>
        <v>100</v>
      </c>
      <c r="AD49" s="450">
        <f>100-('Consumententabel (achtergrond)'!BH111)</f>
        <v>99</v>
      </c>
      <c r="AE49" s="450">
        <f>100-('Consumententabel (achtergrond)'!BI111)</f>
        <v>99</v>
      </c>
      <c r="AF49" s="450">
        <f>100-('Consumententabel (achtergrond)'!BP111)</f>
        <v>99</v>
      </c>
      <c r="AG49" s="450">
        <f>100-('Consumententabel (achtergrond)'!BQ111)</f>
        <v>100</v>
      </c>
      <c r="AH49" s="450">
        <f>100-('Consumententabel (achtergrond)'!BR111)</f>
        <v>99</v>
      </c>
      <c r="AI49" s="450"/>
      <c r="AJ49" s="450"/>
      <c r="AK49" s="206"/>
      <c r="AL49" s="206"/>
      <c r="AM49" s="206"/>
    </row>
    <row r="50" spans="3:39">
      <c r="C50" s="197" t="str">
        <f t="shared" si="1"/>
        <v>De Wit vijzel</v>
      </c>
      <c r="D50" s="197" t="str">
        <f t="shared" si="1"/>
        <v>Vijzel</v>
      </c>
      <c r="F50" s="214">
        <f t="shared" ref="F50:K51" si="3">IF(ISNUMBER(F18),100-F18,"")</f>
        <v>100</v>
      </c>
      <c r="G50" s="214">
        <f t="shared" si="3"/>
        <v>99.666666666666671</v>
      </c>
      <c r="H50" s="214">
        <f t="shared" si="3"/>
        <v>99.666666666666671</v>
      </c>
      <c r="I50" s="214">
        <f t="shared" si="3"/>
        <v>100</v>
      </c>
      <c r="J50" s="214">
        <f t="shared" si="3"/>
        <v>98</v>
      </c>
      <c r="K50" s="214">
        <f t="shared" si="3"/>
        <v>99.666666666666671</v>
      </c>
      <c r="L50" s="334"/>
      <c r="M50" s="334"/>
      <c r="N50" s="334"/>
      <c r="O50" s="450"/>
      <c r="P50" s="454"/>
      <c r="Q50" s="454"/>
      <c r="R50" s="454"/>
      <c r="S50" s="454"/>
      <c r="T50" s="454"/>
      <c r="U50" s="450" t="str">
        <f>C82</f>
        <v>De Wit vijzel</v>
      </c>
      <c r="V50" s="450">
        <f>100-('Consumententabel (achtergrond)'!AT112)</f>
        <v>100</v>
      </c>
      <c r="W50" s="450">
        <f>100-('Consumententabel (achtergrond)'!AU112)</f>
        <v>100</v>
      </c>
      <c r="X50" s="450">
        <f>100-('Consumententabel (achtergrond)'!AV112)</f>
        <v>100</v>
      </c>
      <c r="Y50" s="450">
        <f>100-('Consumententabel (achtergrond)'!BC112)</f>
        <v>100</v>
      </c>
      <c r="Z50" s="450">
        <f>100-('Consumententabel (achtergrond)'!BD112)</f>
        <v>99</v>
      </c>
      <c r="AA50" s="450">
        <f>100-('Consumententabel (achtergrond)'!BE112)</f>
        <v>100</v>
      </c>
      <c r="AB50" s="450"/>
      <c r="AC50" s="450">
        <f>100-('Consumententabel (achtergrond)'!BG112)</f>
        <v>98</v>
      </c>
      <c r="AD50" s="450">
        <f>100-('Consumententabel (achtergrond)'!BH112)</f>
        <v>99</v>
      </c>
      <c r="AE50" s="450">
        <f>100-('Consumententabel (achtergrond)'!BI112)</f>
        <v>99</v>
      </c>
      <c r="AF50" s="450">
        <f>100-('Consumententabel (achtergrond)'!BP112)</f>
        <v>100</v>
      </c>
      <c r="AG50" s="450">
        <f>100-('Consumententabel (achtergrond)'!BQ112)</f>
        <v>98</v>
      </c>
      <c r="AH50" s="450">
        <f>100-('Consumententabel (achtergrond)'!BR112)</f>
        <v>99</v>
      </c>
      <c r="AI50" s="450"/>
      <c r="AJ50" s="450"/>
      <c r="AK50" s="206"/>
      <c r="AL50" s="206"/>
      <c r="AM50" s="206"/>
    </row>
    <row r="51" spans="3:39">
      <c r="C51" s="197" t="str">
        <f t="shared" si="1"/>
        <v>Vijzel</v>
      </c>
      <c r="D51" s="197" t="str">
        <f t="shared" si="1"/>
        <v>Vijzel</v>
      </c>
      <c r="F51" s="214">
        <f t="shared" si="3"/>
        <v>98</v>
      </c>
      <c r="G51" s="214">
        <f t="shared" si="3"/>
        <v>92</v>
      </c>
      <c r="H51" s="214">
        <f t="shared" si="3"/>
        <v>94.230769230769226</v>
      </c>
      <c r="I51" s="214">
        <f t="shared" si="3"/>
        <v>99.666666666666671</v>
      </c>
      <c r="J51" s="214">
        <f t="shared" si="3"/>
        <v>97.666666666666671</v>
      </c>
      <c r="K51" s="214">
        <f t="shared" si="3"/>
        <v>94.333333333333329</v>
      </c>
      <c r="L51" s="334"/>
      <c r="M51" s="334"/>
      <c r="N51" s="334"/>
      <c r="O51" s="450"/>
      <c r="P51" s="454"/>
      <c r="Q51" s="454"/>
      <c r="R51" s="454"/>
      <c r="S51" s="454"/>
      <c r="T51" s="454"/>
      <c r="U51" s="450" t="str">
        <f>C83</f>
        <v>Vijzel</v>
      </c>
      <c r="V51" s="450">
        <f>100-('Consumententabel (achtergrond)'!AT113)</f>
        <v>100</v>
      </c>
      <c r="W51" s="450">
        <f>100-('Consumententabel (achtergrond)'!AU113)</f>
        <v>100</v>
      </c>
      <c r="X51" s="450">
        <f>100-('Consumententabel (achtergrond)'!AV113)</f>
        <v>100</v>
      </c>
      <c r="Y51" s="450">
        <f>100-('Consumententabel (achtergrond)'!BC113)</f>
        <v>100</v>
      </c>
      <c r="Z51" s="450">
        <f>100-('Consumententabel (achtergrond)'!BD113)</f>
        <v>100</v>
      </c>
      <c r="AA51" s="450">
        <f>100-('Consumententabel (achtergrond)'!BE113)</f>
        <v>100</v>
      </c>
      <c r="AB51" s="450"/>
      <c r="AC51" s="450">
        <f>100-('Consumententabel (achtergrond)'!BG113)</f>
        <v>96</v>
      </c>
      <c r="AD51" s="450">
        <f>100-('Consumententabel (achtergrond)'!BH113)</f>
        <v>56</v>
      </c>
      <c r="AE51" s="450">
        <f>100-('Consumententabel (achtergrond)'!BI113)</f>
        <v>96</v>
      </c>
      <c r="AF51" s="450">
        <f>100-('Consumententabel (achtergrond)'!BP113)</f>
        <v>99</v>
      </c>
      <c r="AG51" s="450">
        <f>100-('Consumententabel (achtergrond)'!BQ113)</f>
        <v>93</v>
      </c>
      <c r="AH51" s="450">
        <f>100-('Consumententabel (achtergrond)'!BR113)</f>
        <v>99</v>
      </c>
      <c r="AI51" s="450"/>
      <c r="AJ51" s="450"/>
      <c r="AK51" s="206"/>
      <c r="AL51" s="206"/>
      <c r="AM51" s="206"/>
    </row>
    <row r="52" spans="3:39">
      <c r="C52" s="197" t="str">
        <f t="shared" si="1"/>
        <v>Vijzel (Spaans Babcock)</v>
      </c>
      <c r="D52" s="197" t="str">
        <f t="shared" si="1"/>
        <v>Vijzel</v>
      </c>
      <c r="F52" s="214">
        <f t="shared" ref="F52:K54" si="4">IF(ISNUMBER(F20),100-F20,"")</f>
        <v>98</v>
      </c>
      <c r="G52" s="214">
        <f t="shared" si="4"/>
        <v>100</v>
      </c>
      <c r="H52" s="214">
        <f t="shared" si="4"/>
        <v>100</v>
      </c>
      <c r="I52" s="214">
        <f t="shared" si="4"/>
        <v>100</v>
      </c>
      <c r="J52" s="214">
        <f t="shared" si="4"/>
        <v>99.5</v>
      </c>
      <c r="K52" s="214">
        <f t="shared" si="4"/>
        <v>100</v>
      </c>
      <c r="L52" s="334"/>
      <c r="M52" s="334"/>
      <c r="N52" s="334"/>
      <c r="O52" s="450"/>
      <c r="P52" s="454"/>
      <c r="Q52" s="454"/>
      <c r="R52" s="454"/>
      <c r="S52" s="454"/>
      <c r="T52" s="454"/>
      <c r="U52" s="450" t="str">
        <f>C84</f>
        <v>Vijzel (Spaans Babcock)</v>
      </c>
      <c r="V52" s="450">
        <f>100-('Consumententabel (achtergrond)'!AT114)</f>
        <v>100</v>
      </c>
      <c r="W52" s="450">
        <f>100-('Consumententabel (achtergrond)'!AU114)</f>
        <v>100</v>
      </c>
      <c r="X52" s="450">
        <f>100-('Consumententabel (achtergrond)'!AV114)</f>
        <v>100</v>
      </c>
      <c r="Y52" s="450">
        <f>100-('Consumententabel (achtergrond)'!BC114)</f>
        <v>100</v>
      </c>
      <c r="Z52" s="450">
        <f>100-('Consumententabel (achtergrond)'!BD114)</f>
        <v>100</v>
      </c>
      <c r="AA52" s="450">
        <f>100-('Consumententabel (achtergrond)'!BE114)</f>
        <v>100</v>
      </c>
      <c r="AB52" s="450"/>
      <c r="AC52" s="450">
        <f>100-('Consumententabel (achtergrond)'!BG114)</f>
        <v>100</v>
      </c>
      <c r="AD52" s="450">
        <f>100-('Consumententabel (achtergrond)'!BH114)</f>
        <v>100</v>
      </c>
      <c r="AE52" s="450">
        <f>100-('Consumententabel (achtergrond)'!BI114)</f>
        <v>100</v>
      </c>
      <c r="AF52" s="450">
        <f>100-('Consumententabel (achtergrond)'!BP114)</f>
        <v>100</v>
      </c>
      <c r="AG52" s="450">
        <f>100-('Consumententabel (achtergrond)'!BQ114)</f>
        <v>100</v>
      </c>
      <c r="AH52" s="450">
        <f>100-('Consumententabel (achtergrond)'!BR114)</f>
        <v>100</v>
      </c>
      <c r="AI52" s="450"/>
      <c r="AJ52" s="450"/>
      <c r="AK52" s="206"/>
      <c r="AL52" s="206"/>
      <c r="AM52" s="206"/>
    </row>
    <row r="53" spans="3:39">
      <c r="C53" s="197" t="str">
        <f t="shared" si="1"/>
        <v>Vijzel (Landustrie)</v>
      </c>
      <c r="D53" s="197" t="str">
        <f t="shared" si="1"/>
        <v>Vijzel</v>
      </c>
      <c r="F53" s="214">
        <f t="shared" si="4"/>
        <v>94.5</v>
      </c>
      <c r="G53" s="214">
        <f t="shared" si="4"/>
        <v>100</v>
      </c>
      <c r="H53" s="214">
        <f t="shared" si="4"/>
        <v>98.5</v>
      </c>
      <c r="I53" s="214" t="str">
        <f t="shared" si="4"/>
        <v/>
      </c>
      <c r="J53" s="214" t="str">
        <f t="shared" si="4"/>
        <v/>
      </c>
      <c r="K53" s="214">
        <f t="shared" si="4"/>
        <v>100</v>
      </c>
      <c r="L53" s="334"/>
      <c r="M53" s="334"/>
      <c r="N53" s="334"/>
      <c r="O53" s="450"/>
      <c r="P53" s="454"/>
      <c r="Q53" s="454"/>
      <c r="R53" s="454"/>
      <c r="S53" s="454"/>
      <c r="T53" s="454"/>
      <c r="U53" s="450" t="str">
        <f>C85</f>
        <v>Vijzel (Landustrie)</v>
      </c>
      <c r="V53" s="450">
        <f>100-('Consumententabel (achtergrond)'!AT115)</f>
        <v>100</v>
      </c>
      <c r="W53" s="450">
        <f>100-('Consumententabel (achtergrond)'!AU115)</f>
        <v>100</v>
      </c>
      <c r="X53" s="450">
        <f>100-('Consumententabel (achtergrond)'!AV115)</f>
        <v>100</v>
      </c>
      <c r="Y53" s="450">
        <f>100-('Consumententabel (achtergrond)'!BC115)</f>
        <v>100</v>
      </c>
      <c r="Z53" s="450">
        <f>100-('Consumententabel (achtergrond)'!BD115)</f>
        <v>100</v>
      </c>
      <c r="AA53" s="450">
        <f>100-('Consumententabel (achtergrond)'!BE115)</f>
        <v>100</v>
      </c>
      <c r="AB53" s="450"/>
      <c r="AC53" s="450">
        <f>100-('Consumententabel (achtergrond)'!BG115)</f>
        <v>100</v>
      </c>
      <c r="AD53" s="450">
        <f>100-('Consumententabel (achtergrond)'!BH115)</f>
        <v>100</v>
      </c>
      <c r="AE53" s="450">
        <f>100-('Consumententabel (achtergrond)'!BI115)</f>
        <v>100</v>
      </c>
      <c r="AF53" s="450">
        <f>100-('Consumententabel (achtergrond)'!BP115)</f>
        <v>100</v>
      </c>
      <c r="AG53" s="450">
        <f>100-('Consumententabel (achtergrond)'!BQ115)</f>
        <v>100</v>
      </c>
      <c r="AH53" s="450">
        <f>100-('Consumententabel (achtergrond)'!BR115)</f>
        <v>100</v>
      </c>
      <c r="AI53" s="450"/>
      <c r="AJ53" s="450"/>
      <c r="AK53" s="206"/>
      <c r="AL53" s="206"/>
      <c r="AM53" s="206"/>
    </row>
    <row r="54" spans="3:39">
      <c r="C54" s="197" t="str">
        <f>C22</f>
        <v>Turbinevijzels</v>
      </c>
      <c r="D54" s="197" t="str">
        <f>D22</f>
        <v>Turbinevijzel</v>
      </c>
      <c r="F54" s="214" t="str">
        <f t="shared" si="4"/>
        <v/>
      </c>
      <c r="G54" s="214">
        <f t="shared" si="4"/>
        <v>98.666666666666671</v>
      </c>
      <c r="H54" s="214">
        <f t="shared" si="4"/>
        <v>100</v>
      </c>
      <c r="I54" s="214" t="str">
        <f t="shared" si="4"/>
        <v/>
      </c>
      <c r="J54" s="214" t="str">
        <f t="shared" si="4"/>
        <v/>
      </c>
      <c r="K54" s="214">
        <f t="shared" si="4"/>
        <v>100</v>
      </c>
      <c r="L54" s="334"/>
      <c r="M54" s="334"/>
      <c r="N54" s="334"/>
      <c r="O54" s="450"/>
      <c r="P54" s="454"/>
      <c r="Q54" s="454"/>
      <c r="R54" s="454"/>
      <c r="S54" s="454"/>
      <c r="T54" s="454"/>
      <c r="U54" s="450" t="str">
        <f>C86</f>
        <v>Turbinevijzels</v>
      </c>
      <c r="V54" s="450">
        <f>100-('Consumententabel (achtergrond)'!AT116)</f>
        <v>100</v>
      </c>
      <c r="W54" s="450">
        <f>100-('Consumententabel (achtergrond)'!AU116)</f>
        <v>100</v>
      </c>
      <c r="X54" s="450">
        <f>100-('Consumententabel (achtergrond)'!AV116)</f>
        <v>100</v>
      </c>
      <c r="Y54" s="450">
        <f>100-('Consumententabel (achtergrond)'!BC116)</f>
        <v>100</v>
      </c>
      <c r="Z54" s="450">
        <f>100-('Consumententabel (achtergrond)'!BD116)</f>
        <v>100</v>
      </c>
      <c r="AA54" s="450">
        <f>100-('Consumententabel (achtergrond)'!BE116)</f>
        <v>100</v>
      </c>
      <c r="AB54" s="450"/>
      <c r="AC54" s="450">
        <f>100-('Consumententabel (achtergrond)'!BG116)</f>
        <v>100</v>
      </c>
      <c r="AD54" s="450">
        <f>100-('Consumententabel (achtergrond)'!BH116)</f>
        <v>96</v>
      </c>
      <c r="AE54" s="450">
        <f>100-('Consumententabel (achtergrond)'!BI116)</f>
        <v>100</v>
      </c>
      <c r="AF54" s="450">
        <f>100-('Consumententabel (achtergrond)'!BP116)</f>
        <v>100</v>
      </c>
      <c r="AG54" s="450">
        <f>100-('Consumententabel (achtergrond)'!BQ116)</f>
        <v>100</v>
      </c>
      <c r="AH54" s="450">
        <f>100-('Consumententabel (achtergrond)'!BR116)</f>
        <v>100</v>
      </c>
      <c r="AI54" s="450"/>
      <c r="AJ54" s="450"/>
      <c r="AK54" s="206"/>
      <c r="AL54" s="206"/>
      <c r="AM54" s="206"/>
    </row>
    <row r="55" spans="3:39">
      <c r="C55" s="197" t="str">
        <f>C23</f>
        <v>Centrifugaalpomp</v>
      </c>
      <c r="D55" s="197" t="str">
        <f>D23</f>
        <v>Radiaal</v>
      </c>
      <c r="F55" s="214">
        <f>IF(ISNUMBER(F23),100-F23,"")</f>
        <v>91.833333333333329</v>
      </c>
      <c r="G55" s="214">
        <f>IF(ISNUMBER(G23),100-G23,"")</f>
        <v>94.444444444444443</v>
      </c>
      <c r="H55" s="214">
        <f>IF(ISNUMBER(H23),100-H23,"")</f>
        <v>95.272727272727266</v>
      </c>
      <c r="I55" s="214">
        <f>IF(ISNUMBER(I23),100-I23,"")</f>
        <v>94.25</v>
      </c>
      <c r="J55" s="214">
        <f>IF(ISNUMBER(J23),100-J23,"")</f>
        <v>99</v>
      </c>
      <c r="K55" s="214">
        <f>IF(ISNUMBER(K23),100-K23,"")</f>
        <v>94.166666666666671</v>
      </c>
      <c r="L55" s="334"/>
      <c r="M55" s="334"/>
      <c r="N55" s="334"/>
      <c r="O55" s="450"/>
      <c r="P55" s="454"/>
      <c r="Q55" s="454"/>
      <c r="R55" s="454"/>
      <c r="S55" s="454"/>
      <c r="T55" s="454"/>
      <c r="U55" s="450" t="str">
        <f>C87</f>
        <v>Centrifugaalpomp</v>
      </c>
      <c r="V55" s="450">
        <f>100-('Consumententabel (achtergrond)'!AT117)</f>
        <v>100</v>
      </c>
      <c r="W55" s="450">
        <f>100-('Consumententabel (achtergrond)'!AU117)</f>
        <v>100</v>
      </c>
      <c r="X55" s="450">
        <f>100-('Consumententabel (achtergrond)'!AV117)</f>
        <v>100</v>
      </c>
      <c r="Y55" s="450">
        <f>100-('Consumententabel (achtergrond)'!BC117)</f>
        <v>100</v>
      </c>
      <c r="Z55" s="450">
        <f>100-('Consumententabel (achtergrond)'!BD117)</f>
        <v>100</v>
      </c>
      <c r="AA55" s="450">
        <f>100-('Consumententabel (achtergrond)'!BE117)</f>
        <v>100</v>
      </c>
      <c r="AB55" s="450"/>
      <c r="AC55" s="450">
        <f>100-('Consumententabel (achtergrond)'!BG117)</f>
        <v>51</v>
      </c>
      <c r="AD55" s="450">
        <f>100-('Consumententabel (achtergrond)'!BH117)</f>
        <v>79</v>
      </c>
      <c r="AE55" s="450">
        <f>100-('Consumententabel (achtergrond)'!BI117)</f>
        <v>79</v>
      </c>
      <c r="AF55" s="450">
        <f>100-('Consumententabel (achtergrond)'!BP117)</f>
        <v>78</v>
      </c>
      <c r="AG55" s="450">
        <f>100-('Consumententabel (achtergrond)'!BQ117)</f>
        <v>98</v>
      </c>
      <c r="AH55" s="450">
        <f>100-('Consumententabel (achtergrond)'!BR117)</f>
        <v>78</v>
      </c>
      <c r="AI55" s="450"/>
      <c r="AJ55" s="450"/>
      <c r="AK55" s="206"/>
      <c r="AL55" s="206"/>
      <c r="AM55" s="206"/>
    </row>
    <row r="56" spans="3:39">
      <c r="C56" s="197" t="str">
        <f>C24</f>
        <v>Amarex KRT</v>
      </c>
      <c r="D56" s="197" t="str">
        <f>D24</f>
        <v>Half-axiaal</v>
      </c>
      <c r="F56" s="214">
        <f>IF(ISNUMBER(F24),100-F24,"")</f>
        <v>100</v>
      </c>
      <c r="G56" s="214">
        <f>IF(ISNUMBER(G24),100-G24,"")</f>
        <v>100</v>
      </c>
      <c r="H56" s="214">
        <f>IF(ISNUMBER(H24),100-H24,"")</f>
        <v>100</v>
      </c>
      <c r="I56" s="214">
        <f>IF(ISNUMBER(I24),100-I24,"")</f>
        <v>100</v>
      </c>
      <c r="J56" s="214">
        <f>IF(ISNUMBER(J24),100-J24,"")</f>
        <v>100</v>
      </c>
      <c r="K56" s="214">
        <f>IF(ISNUMBER(K24),100-K24,"")</f>
        <v>100</v>
      </c>
      <c r="L56" s="334"/>
      <c r="M56" s="334"/>
      <c r="N56" s="334"/>
      <c r="O56" s="450"/>
      <c r="P56" s="454"/>
      <c r="Q56" s="454"/>
      <c r="R56" s="454"/>
      <c r="S56" s="454"/>
      <c r="T56" s="454"/>
      <c r="U56" s="450" t="str">
        <f>C88</f>
        <v>Amarex KRT</v>
      </c>
      <c r="V56" s="450">
        <f>100-('Consumententabel (achtergrond)'!AT118)</f>
        <v>100</v>
      </c>
      <c r="W56" s="450">
        <f>100-('Consumententabel (achtergrond)'!AU118)</f>
        <v>100</v>
      </c>
      <c r="X56" s="450">
        <f>100-('Consumententabel (achtergrond)'!AV118)</f>
        <v>100</v>
      </c>
      <c r="Y56" s="450">
        <f>100-('Consumententabel (achtergrond)'!BC118)</f>
        <v>100</v>
      </c>
      <c r="Z56" s="450">
        <f>100-('Consumententabel (achtergrond)'!BD118)</f>
        <v>100</v>
      </c>
      <c r="AA56" s="450">
        <f>100-('Consumententabel (achtergrond)'!BE118)</f>
        <v>100</v>
      </c>
      <c r="AB56" s="450"/>
      <c r="AC56" s="450">
        <f>100-('Consumententabel (achtergrond)'!BG118)</f>
        <v>100</v>
      </c>
      <c r="AD56" s="450">
        <f>100-('Consumententabel (achtergrond)'!BH118)</f>
        <v>100</v>
      </c>
      <c r="AE56" s="450">
        <f>100-('Consumententabel (achtergrond)'!BI118)</f>
        <v>100</v>
      </c>
      <c r="AF56" s="450">
        <f>100-('Consumententabel (achtergrond)'!BP118)</f>
        <v>100</v>
      </c>
      <c r="AG56" s="450">
        <f>100-('Consumententabel (achtergrond)'!BQ118)</f>
        <v>100</v>
      </c>
      <c r="AH56" s="450">
        <f>100-('Consumententabel (achtergrond)'!BR118)</f>
        <v>100</v>
      </c>
      <c r="AI56" s="450"/>
      <c r="AJ56" s="450"/>
      <c r="AK56" s="206"/>
      <c r="AL56" s="206"/>
      <c r="AM56" s="206"/>
    </row>
    <row r="57" spans="3:39">
      <c r="C57" s="197" t="str">
        <f>C25</f>
        <v>BEVERON</v>
      </c>
      <c r="D57" s="197" t="str">
        <f>D25</f>
        <v>Half-axiaal</v>
      </c>
      <c r="F57" s="214">
        <f>IF(ISNUMBER(F25),100-F25,"")</f>
        <v>100</v>
      </c>
      <c r="G57" s="214">
        <f>IF(ISNUMBER(G25),100-G25,"")</f>
        <v>85.5</v>
      </c>
      <c r="H57" s="214">
        <f>IF(ISNUMBER(H25),100-H25,"")</f>
        <v>85.5</v>
      </c>
      <c r="I57" s="214">
        <f>IF(ISNUMBER(I25),100-I25,"")</f>
        <v>100</v>
      </c>
      <c r="J57" s="214">
        <f>IF(ISNUMBER(J25),100-J25,"")</f>
        <v>69.5</v>
      </c>
      <c r="K57" s="214">
        <f>IF(ISNUMBER(K25),100-K25,"")</f>
        <v>84</v>
      </c>
      <c r="L57" s="334"/>
      <c r="M57" s="334"/>
      <c r="N57" s="334"/>
      <c r="O57" s="450"/>
      <c r="P57" s="454"/>
      <c r="Q57" s="454"/>
      <c r="R57" s="454"/>
      <c r="S57" s="454"/>
      <c r="T57" s="454"/>
      <c r="U57" s="450" t="str">
        <f>C89</f>
        <v>BEVERON</v>
      </c>
      <c r="V57" s="450">
        <f>100-('Consumententabel (achtergrond)'!AT119)</f>
        <v>100</v>
      </c>
      <c r="W57" s="450">
        <f>100-('Consumententabel (achtergrond)'!AU119)</f>
        <v>100</v>
      </c>
      <c r="X57" s="450">
        <f>100-('Consumententabel (achtergrond)'!AV119)</f>
        <v>100</v>
      </c>
      <c r="Y57" s="450">
        <f>100-('Consumententabel (achtergrond)'!BC119)</f>
        <v>100</v>
      </c>
      <c r="Z57" s="450">
        <f>100-('Consumententabel (achtergrond)'!BD119)</f>
        <v>81</v>
      </c>
      <c r="AA57" s="450">
        <f>100-('Consumententabel (achtergrond)'!BE119)</f>
        <v>100</v>
      </c>
      <c r="AB57" s="450"/>
      <c r="AC57" s="450">
        <f>100-('Consumententabel (achtergrond)'!BG119)</f>
        <v>100</v>
      </c>
      <c r="AD57" s="450">
        <f>100-('Consumententabel (achtergrond)'!BH119)</f>
        <v>71</v>
      </c>
      <c r="AE57" s="450">
        <f>100-('Consumententabel (achtergrond)'!BI119)</f>
        <v>71</v>
      </c>
      <c r="AF57" s="450">
        <f>100-('Consumententabel (achtergrond)'!BP119)</f>
        <v>100</v>
      </c>
      <c r="AG57" s="450">
        <f>100-('Consumententabel (achtergrond)'!BQ119)</f>
        <v>58</v>
      </c>
      <c r="AH57" s="450">
        <f>100-('Consumententabel (achtergrond)'!BR119)</f>
        <v>71</v>
      </c>
      <c r="AI57" s="450"/>
      <c r="AJ57" s="450"/>
      <c r="AK57" s="206"/>
      <c r="AL57" s="206"/>
      <c r="AM57" s="206"/>
    </row>
    <row r="58" spans="3:39">
      <c r="C58" s="197" t="str">
        <f>C26</f>
        <v>Hidrostal</v>
      </c>
      <c r="D58" s="197" t="str">
        <f>D26</f>
        <v>Half-axiaal</v>
      </c>
      <c r="F58" s="214">
        <f>IF(ISNUMBER(F26),100-F26,"")</f>
        <v>100</v>
      </c>
      <c r="G58" s="214">
        <f>IF(ISNUMBER(G26),100-G26,"")</f>
        <v>95.6875</v>
      </c>
      <c r="H58" s="214">
        <f>IF(ISNUMBER(H26),100-H26,"")</f>
        <v>95.416666666666671</v>
      </c>
      <c r="I58" s="214">
        <f>IF(ISNUMBER(I26),100-I26,"")</f>
        <v>93</v>
      </c>
      <c r="J58" s="214">
        <f>IF(ISNUMBER(J26),100-J26,"")</f>
        <v>96.5</v>
      </c>
      <c r="K58" s="214">
        <f>IF(ISNUMBER(K26),100-K26,"")</f>
        <v>93</v>
      </c>
      <c r="L58" s="334"/>
      <c r="M58" s="334"/>
      <c r="N58" s="334"/>
      <c r="O58" s="450"/>
      <c r="P58" s="454"/>
      <c r="Q58" s="454"/>
      <c r="R58" s="454"/>
      <c r="S58" s="454"/>
      <c r="T58" s="454"/>
      <c r="U58" s="450" t="str">
        <f>C90</f>
        <v>Hidrostal</v>
      </c>
      <c r="V58" s="450">
        <f>100-('Consumententabel (achtergrond)'!AT120)</f>
        <v>100</v>
      </c>
      <c r="W58" s="450">
        <f>100-('Consumententabel (achtergrond)'!AU120)</f>
        <v>99</v>
      </c>
      <c r="X58" s="450">
        <f>100-('Consumententabel (achtergrond)'!AV120)</f>
        <v>99</v>
      </c>
      <c r="Y58" s="450">
        <f>100-('Consumententabel (achtergrond)'!BC120)</f>
        <v>94</v>
      </c>
      <c r="Z58" s="450">
        <f>100-('Consumententabel (achtergrond)'!BD120)</f>
        <v>100</v>
      </c>
      <c r="AA58" s="450">
        <f>100-('Consumententabel (achtergrond)'!BE120)</f>
        <v>94</v>
      </c>
      <c r="AB58" s="450"/>
      <c r="AC58" s="450">
        <f>100-('Consumententabel (achtergrond)'!BG120)</f>
        <v>100</v>
      </c>
      <c r="AD58" s="450">
        <f>100-('Consumententabel (achtergrond)'!BH120)</f>
        <v>92</v>
      </c>
      <c r="AE58" s="450">
        <f>100-('Consumententabel (achtergrond)'!BI120)</f>
        <v>92</v>
      </c>
      <c r="AF58" s="450">
        <f>100-('Consumententabel (achtergrond)'!BP120)</f>
        <v>92</v>
      </c>
      <c r="AG58" s="450">
        <f>100-('Consumententabel (achtergrond)'!BQ120)</f>
        <v>93</v>
      </c>
      <c r="AH58" s="450">
        <f>100-('Consumententabel (achtergrond)'!BR120)</f>
        <v>92</v>
      </c>
      <c r="AI58" s="450"/>
      <c r="AJ58" s="450"/>
      <c r="AK58" s="206"/>
      <c r="AL58" s="206"/>
      <c r="AM58" s="206"/>
    </row>
    <row r="59" spans="3:39">
      <c r="C59" s="197" t="str">
        <f>C27</f>
        <v>half-axiaal pomp</v>
      </c>
      <c r="D59" s="197" t="str">
        <f>D27</f>
        <v>Half-axiaal</v>
      </c>
      <c r="F59" s="214">
        <f>IF(ISNUMBER(F27),100-F27,"")</f>
        <v>94.5</v>
      </c>
      <c r="G59" s="214">
        <f>IF(ISNUMBER(G27),100-G27,"")</f>
        <v>93.090909090909093</v>
      </c>
      <c r="H59" s="214">
        <f>IF(ISNUMBER(H27),100-H27,"")</f>
        <v>92.833333333333329</v>
      </c>
      <c r="I59" s="214">
        <f>IF(ISNUMBER(I27),100-I27,"")</f>
        <v>97.5</v>
      </c>
      <c r="J59" s="214">
        <f>IF(ISNUMBER(J27),100-J27,"")</f>
        <v>83</v>
      </c>
      <c r="K59" s="214">
        <f>IF(ISNUMBER(K27),100-K27,"")</f>
        <v>93.5</v>
      </c>
      <c r="L59" s="334"/>
      <c r="M59" s="334"/>
      <c r="N59" s="334"/>
      <c r="O59" s="450"/>
      <c r="P59" s="454"/>
      <c r="Q59" s="454"/>
      <c r="R59" s="454"/>
      <c r="S59" s="454"/>
      <c r="T59" s="454"/>
      <c r="U59" s="450" t="str">
        <f>C91</f>
        <v>half-axiaal pomp</v>
      </c>
      <c r="V59" s="450">
        <f>100-('Consumententabel (achtergrond)'!AT121)</f>
        <v>100</v>
      </c>
      <c r="W59" s="450">
        <f>100-('Consumententabel (achtergrond)'!AU121)</f>
        <v>100</v>
      </c>
      <c r="X59" s="450">
        <f>100-('Consumententabel (achtergrond)'!AV121)</f>
        <v>100</v>
      </c>
      <c r="Y59" s="450">
        <f>100-('Consumententabel (achtergrond)'!BC121)</f>
        <v>100</v>
      </c>
      <c r="Z59" s="450">
        <f>100-('Consumententabel (achtergrond)'!BD121)</f>
        <v>100</v>
      </c>
      <c r="AA59" s="450">
        <f>100-('Consumententabel (achtergrond)'!BE121)</f>
        <v>100</v>
      </c>
      <c r="AB59" s="450"/>
      <c r="AC59" s="450">
        <f>100-('Consumententabel (achtergrond)'!BG121)</f>
        <v>78</v>
      </c>
      <c r="AD59" s="450">
        <f>100-('Consumententabel (achtergrond)'!BH121)</f>
        <v>80</v>
      </c>
      <c r="AE59" s="450">
        <f>100-('Consumententabel (achtergrond)'!BI121)</f>
        <v>77</v>
      </c>
      <c r="AF59" s="450">
        <f>100-('Consumententabel (achtergrond)'!BP121)</f>
        <v>94</v>
      </c>
      <c r="AG59" s="450">
        <f>100-('Consumententabel (achtergrond)'!BQ121)</f>
        <v>59</v>
      </c>
      <c r="AH59" s="450">
        <f>100-('Consumententabel (achtergrond)'!BR121)</f>
        <v>80</v>
      </c>
      <c r="AI59" s="450"/>
      <c r="AJ59" s="450"/>
      <c r="AK59" s="206"/>
      <c r="AL59" s="206"/>
      <c r="AM59" s="206"/>
    </row>
    <row r="60" spans="3:39">
      <c r="C60" s="197" t="str">
        <f>C28</f>
        <v>Visvriendelijke Hidrostal</v>
      </c>
      <c r="D60" s="197" t="str">
        <f>D28</f>
        <v>Half-axiaal</v>
      </c>
      <c r="F60" s="214">
        <f>IF(ISNUMBER(F28),100-F28,"")</f>
        <v>100</v>
      </c>
      <c r="G60" s="214">
        <f>IF(ISNUMBER(G28),100-G28,"")</f>
        <v>100</v>
      </c>
      <c r="H60" s="214">
        <f>IF(ISNUMBER(H28),100-H28,"")</f>
        <v>100</v>
      </c>
      <c r="I60" s="214">
        <f>IF(ISNUMBER(I28),100-I28,"")</f>
        <v>100</v>
      </c>
      <c r="J60" s="214">
        <f>IF(ISNUMBER(J28),100-J28,"")</f>
        <v>100</v>
      </c>
      <c r="K60" s="214">
        <f>IF(ISNUMBER(K28),100-K28,"")</f>
        <v>100</v>
      </c>
      <c r="L60" s="334"/>
      <c r="M60" s="334"/>
      <c r="N60" s="334"/>
      <c r="O60" s="450"/>
      <c r="P60" s="454"/>
      <c r="Q60" s="454"/>
      <c r="R60" s="454"/>
      <c r="S60" s="454"/>
      <c r="T60" s="454"/>
      <c r="U60" s="450" t="str">
        <f>C92</f>
        <v>Visvriendelijke Hidrostal</v>
      </c>
      <c r="V60" s="450">
        <f>100-('Consumententabel (achtergrond)'!AT122)</f>
        <v>100</v>
      </c>
      <c r="W60" s="450">
        <f>100-('Consumententabel (achtergrond)'!AU122)</f>
        <v>100</v>
      </c>
      <c r="X60" s="450">
        <f>100-('Consumententabel (achtergrond)'!AV122)</f>
        <v>100</v>
      </c>
      <c r="Y60" s="450">
        <f>100-('Consumententabel (achtergrond)'!BC122)</f>
        <v>100</v>
      </c>
      <c r="Z60" s="450">
        <f>100-('Consumententabel (achtergrond)'!BD122)</f>
        <v>100</v>
      </c>
      <c r="AA60" s="450">
        <f>100-('Consumententabel (achtergrond)'!BE122)</f>
        <v>100</v>
      </c>
      <c r="AB60" s="450"/>
      <c r="AC60" s="450">
        <f>100-('Consumententabel (achtergrond)'!BG122)</f>
        <v>100</v>
      </c>
      <c r="AD60" s="450">
        <f>100-('Consumententabel (achtergrond)'!BH122)</f>
        <v>100</v>
      </c>
      <c r="AE60" s="450">
        <f>100-('Consumententabel (achtergrond)'!BI122)</f>
        <v>100</v>
      </c>
      <c r="AF60" s="450">
        <f>100-('Consumententabel (achtergrond)'!BP122)</f>
        <v>100</v>
      </c>
      <c r="AG60" s="450">
        <f>100-('Consumententabel (achtergrond)'!BQ122)</f>
        <v>100</v>
      </c>
      <c r="AH60" s="450">
        <f>100-('Consumententabel (achtergrond)'!BR122)</f>
        <v>100</v>
      </c>
      <c r="AI60" s="450"/>
      <c r="AJ60" s="450"/>
      <c r="AK60" s="206"/>
      <c r="AL60" s="206"/>
      <c r="AM60" s="206"/>
    </row>
    <row r="61" spans="3:39">
      <c r="C61" s="197" t="str">
        <f>C29</f>
        <v>VOPO met stroomomdraaiing</v>
      </c>
      <c r="D61" s="197" t="str">
        <f>D29</f>
        <v>Half-axiaal</v>
      </c>
      <c r="F61" s="214" t="str">
        <f>IF(ISNUMBER(F29),100-F29,"")</f>
        <v/>
      </c>
      <c r="G61" s="214">
        <f>IF(ISNUMBER(G29),100-G29,"")</f>
        <v>94</v>
      </c>
      <c r="H61" s="214">
        <f>IF(ISNUMBER(H29),100-H29,"")</f>
        <v>94</v>
      </c>
      <c r="I61" s="214">
        <f>IF(ISNUMBER(I29),100-I29,"")</f>
        <v>95</v>
      </c>
      <c r="J61" s="214">
        <f>IF(ISNUMBER(J29),100-J29,"")</f>
        <v>30</v>
      </c>
      <c r="K61" s="214">
        <f>IF(ISNUMBER(K29),100-K29,"")</f>
        <v>94</v>
      </c>
      <c r="L61" s="334"/>
      <c r="M61" s="334"/>
      <c r="N61" s="334"/>
      <c r="O61" s="450"/>
      <c r="P61" s="454"/>
      <c r="Q61" s="454"/>
      <c r="R61" s="454"/>
      <c r="S61" s="454"/>
      <c r="T61" s="454"/>
      <c r="U61" s="450" t="str">
        <f>C93</f>
        <v>VOPO met stroomomdraaiing</v>
      </c>
      <c r="V61" s="450">
        <f>100-('Consumententabel (achtergrond)'!AT123)</f>
        <v>100</v>
      </c>
      <c r="W61" s="450">
        <f>100-('Consumententabel (achtergrond)'!AU123)</f>
        <v>94</v>
      </c>
      <c r="X61" s="450">
        <f>100-('Consumententabel (achtergrond)'!AV123)</f>
        <v>94</v>
      </c>
      <c r="Y61" s="450">
        <f>100-('Consumententabel (achtergrond)'!BC123)</f>
        <v>95</v>
      </c>
      <c r="Z61" s="450">
        <f>100-('Consumententabel (achtergrond)'!BD123)</f>
        <v>30</v>
      </c>
      <c r="AA61" s="450">
        <f>100-('Consumententabel (achtergrond)'!BE123)</f>
        <v>94</v>
      </c>
      <c r="AB61" s="450"/>
      <c r="AC61" s="450">
        <f>100-('Consumententabel (achtergrond)'!BG123)</f>
        <v>100</v>
      </c>
      <c r="AD61" s="450">
        <f>100-('Consumententabel (achtergrond)'!BH123)</f>
        <v>94</v>
      </c>
      <c r="AE61" s="450">
        <f>100-('Consumententabel (achtergrond)'!BI123)</f>
        <v>94</v>
      </c>
      <c r="AF61" s="450">
        <f>100-('Consumententabel (achtergrond)'!BP123)</f>
        <v>95</v>
      </c>
      <c r="AG61" s="450">
        <f>100-('Consumententabel (achtergrond)'!BQ123)</f>
        <v>30</v>
      </c>
      <c r="AH61" s="450">
        <f>100-('Consumententabel (achtergrond)'!BR123)</f>
        <v>94</v>
      </c>
      <c r="AI61" s="450"/>
      <c r="AJ61" s="450"/>
      <c r="AK61" s="206"/>
      <c r="AL61" s="206"/>
      <c r="AM61" s="206"/>
    </row>
    <row r="62" spans="3:39">
      <c r="C62" s="197" t="str">
        <f>C30</f>
        <v>Nijhuis Bulbpomp</v>
      </c>
      <c r="D62" s="197" t="str">
        <f>D30</f>
        <v>Axiaal</v>
      </c>
      <c r="F62" s="214">
        <f>IF(ISNUMBER(F30),100-F30,"")</f>
        <v>59</v>
      </c>
      <c r="G62" s="214">
        <f>IF(ISNUMBER(G30),100-G30,"")</f>
        <v>99</v>
      </c>
      <c r="H62" s="214">
        <f>IF(ISNUMBER(H30),100-H30,"")</f>
        <v>97</v>
      </c>
      <c r="I62" s="214">
        <f>IF(ISNUMBER(I30),100-I30,"")</f>
        <v>99</v>
      </c>
      <c r="J62" s="214">
        <f>IF(ISNUMBER(J30),100-J30,"")</f>
        <v>94</v>
      </c>
      <c r="K62" s="214">
        <f>IF(ISNUMBER(K30),100-K30,"")</f>
        <v>97</v>
      </c>
      <c r="L62" s="334"/>
      <c r="M62" s="334"/>
      <c r="N62" s="334"/>
      <c r="O62" s="450"/>
      <c r="P62" s="454"/>
      <c r="Q62" s="454"/>
      <c r="R62" s="454"/>
      <c r="S62" s="454"/>
      <c r="T62" s="454"/>
      <c r="U62" s="450" t="str">
        <f>C94</f>
        <v>Nijhuis Bulbpomp</v>
      </c>
      <c r="V62" s="450">
        <f>100-('Consumententabel (achtergrond)'!AT124)</f>
        <v>59</v>
      </c>
      <c r="W62" s="450">
        <f>100-('Consumententabel (achtergrond)'!AU124)</f>
        <v>99</v>
      </c>
      <c r="X62" s="450">
        <f>100-('Consumententabel (achtergrond)'!AV124)</f>
        <v>97</v>
      </c>
      <c r="Y62" s="450">
        <f>100-('Consumententabel (achtergrond)'!BC124)</f>
        <v>99</v>
      </c>
      <c r="Z62" s="450">
        <f>100-('Consumententabel (achtergrond)'!BD124)</f>
        <v>94</v>
      </c>
      <c r="AA62" s="450">
        <f>100-('Consumententabel (achtergrond)'!BE124)</f>
        <v>97</v>
      </c>
      <c r="AB62" s="450"/>
      <c r="AC62" s="450">
        <f>100-('Consumententabel (achtergrond)'!BG124)</f>
        <v>59</v>
      </c>
      <c r="AD62" s="450">
        <f>100-('Consumententabel (achtergrond)'!BH124)</f>
        <v>99</v>
      </c>
      <c r="AE62" s="450">
        <f>100-('Consumententabel (achtergrond)'!BI124)</f>
        <v>97</v>
      </c>
      <c r="AF62" s="450">
        <f>100-('Consumententabel (achtergrond)'!BP124)</f>
        <v>99</v>
      </c>
      <c r="AG62" s="450">
        <f>100-('Consumententabel (achtergrond)'!BQ124)</f>
        <v>94</v>
      </c>
      <c r="AH62" s="450">
        <f>100-('Consumententabel (achtergrond)'!BR124)</f>
        <v>97</v>
      </c>
      <c r="AI62" s="450"/>
      <c r="AJ62" s="450"/>
      <c r="AK62" s="206"/>
      <c r="AL62" s="206"/>
      <c r="AM62" s="206"/>
    </row>
    <row r="63" spans="3:39">
      <c r="C63" s="197" t="str">
        <f>C31</f>
        <v>BVOP</v>
      </c>
      <c r="D63" s="197" t="str">
        <f>D31</f>
        <v>Axiaal</v>
      </c>
      <c r="F63" s="214" t="str">
        <f>IF(ISNUMBER(F31),100-F31,"")</f>
        <v/>
      </c>
      <c r="G63" s="214">
        <f>IF(ISNUMBER(G31),100-G31,"")</f>
        <v>70.666666666666671</v>
      </c>
      <c r="H63" s="214">
        <f>IF(ISNUMBER(H31),100-H31,"")</f>
        <v>70.333333333333329</v>
      </c>
      <c r="I63" s="214">
        <f>IF(ISNUMBER(I31),100-I31,"")</f>
        <v>12</v>
      </c>
      <c r="J63" s="214">
        <f>IF(ISNUMBER(J31),100-J31,"")</f>
        <v>12</v>
      </c>
      <c r="K63" s="214">
        <f>IF(ISNUMBER(K31),100-K31,"")</f>
        <v>12</v>
      </c>
      <c r="L63" s="334"/>
      <c r="M63" s="334"/>
      <c r="N63" s="334"/>
      <c r="O63" s="450"/>
      <c r="P63" s="454"/>
      <c r="Q63" s="454"/>
      <c r="R63" s="454"/>
      <c r="S63" s="454"/>
      <c r="T63" s="454"/>
      <c r="U63" s="450" t="str">
        <f>C95</f>
        <v>BVOP</v>
      </c>
      <c r="V63" s="450">
        <f>100-('Consumententabel (achtergrond)'!AT125)</f>
        <v>100</v>
      </c>
      <c r="W63" s="450">
        <f>100-('Consumententabel (achtergrond)'!AU125)</f>
        <v>100</v>
      </c>
      <c r="X63" s="450">
        <f>100-('Consumententabel (achtergrond)'!AV125)</f>
        <v>100</v>
      </c>
      <c r="Y63" s="450">
        <f>100-('Consumententabel (achtergrond)'!BC125)</f>
        <v>12</v>
      </c>
      <c r="Z63" s="450">
        <f>100-('Consumententabel (achtergrond)'!BD125)</f>
        <v>12</v>
      </c>
      <c r="AA63" s="450">
        <f>100-('Consumententabel (achtergrond)'!BE125)</f>
        <v>12</v>
      </c>
      <c r="AB63" s="450"/>
      <c r="AC63" s="450">
        <f>100-('Consumententabel (achtergrond)'!BG125)</f>
        <v>100</v>
      </c>
      <c r="AD63" s="450">
        <f>100-('Consumententabel (achtergrond)'!BH125)</f>
        <v>12</v>
      </c>
      <c r="AE63" s="450">
        <f>100-('Consumententabel (achtergrond)'!BI125)</f>
        <v>12</v>
      </c>
      <c r="AF63" s="450">
        <f>100-('Consumententabel (achtergrond)'!BP125)</f>
        <v>12</v>
      </c>
      <c r="AG63" s="450">
        <f>100-('Consumententabel (achtergrond)'!BQ125)</f>
        <v>12</v>
      </c>
      <c r="AH63" s="450">
        <f>100-('Consumententabel (achtergrond)'!BR125)</f>
        <v>12</v>
      </c>
      <c r="AI63" s="450"/>
      <c r="AJ63" s="450"/>
      <c r="AK63" s="206"/>
      <c r="AL63" s="206"/>
      <c r="AM63" s="206"/>
    </row>
    <row r="64" spans="3:39">
      <c r="C64" s="197" t="str">
        <f>C32</f>
        <v>Gesloten schroefpomp (compact)</v>
      </c>
      <c r="D64" s="197" t="str">
        <f>D32</f>
        <v>Axiaal</v>
      </c>
      <c r="F64" s="214">
        <f>IF(ISNUMBER(F32),100-F32,"")</f>
        <v>100</v>
      </c>
      <c r="G64" s="214">
        <f>IF(ISNUMBER(G32),100-G32,"")</f>
        <v>80.8</v>
      </c>
      <c r="H64" s="214">
        <f>IF(ISNUMBER(H32),100-H32,"")</f>
        <v>80.8</v>
      </c>
      <c r="I64" s="214">
        <f>IF(ISNUMBER(I32),100-I32,"")</f>
        <v>76.25</v>
      </c>
      <c r="J64" s="214">
        <f>IF(ISNUMBER(J32),100-J32,"")</f>
        <v>69</v>
      </c>
      <c r="K64" s="214">
        <f>IF(ISNUMBER(K32),100-K32,"")</f>
        <v>76.25</v>
      </c>
      <c r="L64" s="334"/>
      <c r="M64" s="334"/>
      <c r="N64" s="334"/>
      <c r="O64" s="450"/>
      <c r="P64" s="454"/>
      <c r="Q64" s="454"/>
      <c r="R64" s="454"/>
      <c r="S64" s="454"/>
      <c r="T64" s="454"/>
      <c r="U64" s="450" t="str">
        <f>C96</f>
        <v>Gesloten schroefpomp (compact)</v>
      </c>
      <c r="V64" s="450">
        <f>100-('Consumententabel (achtergrond)'!AT126)</f>
        <v>100</v>
      </c>
      <c r="W64" s="450">
        <f>100-('Consumententabel (achtergrond)'!AU126)</f>
        <v>99</v>
      </c>
      <c r="X64" s="450">
        <f>100-('Consumententabel (achtergrond)'!AV126)</f>
        <v>99</v>
      </c>
      <c r="Y64" s="450">
        <f>100-('Consumententabel (achtergrond)'!BC126)</f>
        <v>98</v>
      </c>
      <c r="Z64" s="450">
        <f>100-('Consumententabel (achtergrond)'!BD126)</f>
        <v>91</v>
      </c>
      <c r="AA64" s="450">
        <f>100-('Consumententabel (achtergrond)'!BE126)</f>
        <v>98</v>
      </c>
      <c r="AB64" s="450"/>
      <c r="AC64" s="450">
        <f>100-('Consumententabel (achtergrond)'!BG126)</f>
        <v>100</v>
      </c>
      <c r="AD64" s="450">
        <f>100-('Consumententabel (achtergrond)'!BH126)</f>
        <v>21</v>
      </c>
      <c r="AE64" s="450">
        <f>100-('Consumententabel (achtergrond)'!BI126)</f>
        <v>21</v>
      </c>
      <c r="AF64" s="450">
        <f>100-('Consumententabel (achtergrond)'!BP126)</f>
        <v>21</v>
      </c>
      <c r="AG64" s="450">
        <f>100-('Consumententabel (achtergrond)'!BQ126)</f>
        <v>26</v>
      </c>
      <c r="AH64" s="450">
        <f>100-('Consumententabel (achtergrond)'!BR126)</f>
        <v>21</v>
      </c>
      <c r="AI64" s="450"/>
      <c r="AJ64" s="450"/>
      <c r="AK64" s="206"/>
      <c r="AL64" s="206"/>
      <c r="AM64" s="206"/>
    </row>
    <row r="65" spans="2:54">
      <c r="C65" s="197" t="str">
        <f>C33</f>
        <v>Gesloten schroefpomp</v>
      </c>
      <c r="D65" s="197" t="str">
        <f>D33</f>
        <v>Axiaal</v>
      </c>
      <c r="F65" s="214">
        <f>IF(ISNUMBER(F33),100-F33,"")</f>
        <v>68</v>
      </c>
      <c r="G65" s="214">
        <f>IF(ISNUMBER(G33),100-G33,"")</f>
        <v>87</v>
      </c>
      <c r="H65" s="214">
        <f>IF(ISNUMBER(H33),100-H33,"")</f>
        <v>86.5</v>
      </c>
      <c r="I65" s="214">
        <f>IF(ISNUMBER(I33),100-I33,"")</f>
        <v>87.5</v>
      </c>
      <c r="J65" s="214">
        <f>IF(ISNUMBER(J33),100-J33,"")</f>
        <v>53</v>
      </c>
      <c r="K65" s="214">
        <f>IF(ISNUMBER(K33),100-K33,"")</f>
        <v>86.75</v>
      </c>
      <c r="L65" s="334"/>
      <c r="M65" s="334"/>
      <c r="N65" s="334"/>
      <c r="O65" s="450"/>
      <c r="P65" s="454"/>
      <c r="Q65" s="454"/>
      <c r="R65" s="454"/>
      <c r="S65" s="454"/>
      <c r="T65" s="450"/>
      <c r="U65" s="450" t="str">
        <f>C97</f>
        <v>Gesloten schroefpomp</v>
      </c>
      <c r="V65" s="450">
        <f>100-('Consumententabel (achtergrond)'!AT127)</f>
        <v>68</v>
      </c>
      <c r="W65" s="450">
        <f>100-('Consumententabel (achtergrond)'!AU127)</f>
        <v>95</v>
      </c>
      <c r="X65" s="450">
        <f>100-('Consumententabel (achtergrond)'!AV127)</f>
        <v>95</v>
      </c>
      <c r="Y65" s="450">
        <f>100-('Consumententabel (achtergrond)'!BC127)</f>
        <v>97</v>
      </c>
      <c r="Z65" s="450">
        <f>100-('Consumententabel (achtergrond)'!BD127)</f>
        <v>89</v>
      </c>
      <c r="AA65" s="450">
        <f>100-('Consumententabel (achtergrond)'!BE127)</f>
        <v>99</v>
      </c>
      <c r="AB65" s="450"/>
      <c r="AC65" s="450">
        <f>100-('Consumententabel (achtergrond)'!BG127)</f>
        <v>68</v>
      </c>
      <c r="AD65" s="450">
        <f>100-('Consumententabel (achtergrond)'!BH127)</f>
        <v>73</v>
      </c>
      <c r="AE65" s="450">
        <f>100-('Consumententabel (achtergrond)'!BI127)</f>
        <v>73</v>
      </c>
      <c r="AF65" s="450">
        <f>100-('Consumententabel (achtergrond)'!BP127)</f>
        <v>73</v>
      </c>
      <c r="AG65" s="450">
        <f>100-('Consumententabel (achtergrond)'!BQ127)</f>
        <v>17</v>
      </c>
      <c r="AH65" s="450">
        <f>100-('Consumententabel (achtergrond)'!BR127)</f>
        <v>73</v>
      </c>
      <c r="AI65" s="450"/>
      <c r="AJ65" s="450"/>
      <c r="AK65" s="206"/>
      <c r="AL65" s="206"/>
      <c r="AM65" s="206"/>
    </row>
    <row r="66" spans="2:54">
      <c r="C66" s="197" t="str">
        <f>C34</f>
        <v>Gesloten schroefpomp FFI</v>
      </c>
      <c r="D66" s="197" t="str">
        <f>D34</f>
        <v>Axiaal</v>
      </c>
      <c r="F66" s="214">
        <f>IF(ISNUMBER(F34),100-F34,"")</f>
        <v>100</v>
      </c>
      <c r="G66" s="214">
        <f>IF(ISNUMBER(G34),100-G34,"")</f>
        <v>100</v>
      </c>
      <c r="H66" s="214">
        <f>IF(ISNUMBER(H34),100-H34,"")</f>
        <v>100</v>
      </c>
      <c r="I66" s="214">
        <f>IF(ISNUMBER(I34),100-I34,"")</f>
        <v>100</v>
      </c>
      <c r="J66" s="214">
        <f>IF(ISNUMBER(J34),100-J34,"")</f>
        <v>100</v>
      </c>
      <c r="K66" s="214">
        <f>IF(ISNUMBER(K34),100-K34,"")</f>
        <v>100</v>
      </c>
      <c r="L66" s="334"/>
      <c r="M66" s="334"/>
      <c r="N66" s="334"/>
      <c r="O66" s="450"/>
      <c r="P66" s="454"/>
      <c r="Q66" s="454"/>
      <c r="R66" s="454"/>
      <c r="S66" s="454"/>
      <c r="T66" s="450"/>
      <c r="U66" s="450" t="str">
        <f>C98</f>
        <v>Gesloten schroefpomp FFI</v>
      </c>
      <c r="V66" s="450">
        <f>100-('Consumententabel (achtergrond)'!AT128)</f>
        <v>100</v>
      </c>
      <c r="W66" s="450">
        <f>100-('Consumententabel (achtergrond)'!AU128)</f>
        <v>100</v>
      </c>
      <c r="X66" s="450">
        <f>100-('Consumententabel (achtergrond)'!AV128)</f>
        <v>100</v>
      </c>
      <c r="Y66" s="450">
        <f>100-('Consumententabel (achtergrond)'!BC128)</f>
        <v>100</v>
      </c>
      <c r="Z66" s="450">
        <f>100-('Consumententabel (achtergrond)'!BD128)</f>
        <v>100</v>
      </c>
      <c r="AA66" s="450">
        <f>100-('Consumententabel (achtergrond)'!BE128)</f>
        <v>100</v>
      </c>
      <c r="AB66" s="450"/>
      <c r="AC66" s="450">
        <f>100-('Consumententabel (achtergrond)'!BG128)</f>
        <v>100</v>
      </c>
      <c r="AD66" s="450">
        <f>100-('Consumententabel (achtergrond)'!BH128)</f>
        <v>100</v>
      </c>
      <c r="AE66" s="450">
        <f>100-('Consumententabel (achtergrond)'!BI128)</f>
        <v>100</v>
      </c>
      <c r="AF66" s="450">
        <f>100-('Consumententabel (achtergrond)'!BP128)</f>
        <v>100</v>
      </c>
      <c r="AG66" s="450">
        <f>100-('Consumententabel (achtergrond)'!BQ128)</f>
        <v>100</v>
      </c>
      <c r="AH66" s="450">
        <f>100-('Consumententabel (achtergrond)'!BR128)</f>
        <v>100</v>
      </c>
      <c r="AI66" s="450"/>
      <c r="AJ66" s="450"/>
      <c r="AK66" s="206"/>
      <c r="AL66" s="206"/>
      <c r="AM66" s="206"/>
    </row>
    <row r="67" spans="2:54">
      <c r="C67" s="197" t="str">
        <f>C35</f>
        <v>Horizontale schroefpomp (kattenrug)</v>
      </c>
      <c r="D67" s="197" t="str">
        <f>D35</f>
        <v>Axiaal</v>
      </c>
      <c r="F67" s="214">
        <f>IF(ISNUMBER(F35),100-F35,"")</f>
        <v>87.333333333333329</v>
      </c>
      <c r="G67" s="214">
        <f>IF(ISNUMBER(G35),100-G35,"")</f>
        <v>94.8</v>
      </c>
      <c r="H67" s="214">
        <f>IF(ISNUMBER(H35),100-H35,"")</f>
        <v>95</v>
      </c>
      <c r="I67" s="214" t="str">
        <f>IF(ISNUMBER(I35),100-I35,"")</f>
        <v/>
      </c>
      <c r="J67" s="214" t="str">
        <f>IF(ISNUMBER(J35),100-J35,"")</f>
        <v/>
      </c>
      <c r="K67" s="214">
        <f>IF(ISNUMBER(K35),100-K35,"")</f>
        <v>97</v>
      </c>
      <c r="L67" s="334"/>
      <c r="M67" s="334"/>
      <c r="N67" s="334"/>
      <c r="O67" s="450"/>
      <c r="P67" s="454"/>
      <c r="Q67" s="454"/>
      <c r="R67" s="454"/>
      <c r="S67" s="454"/>
      <c r="T67" s="450"/>
      <c r="U67" s="450" t="str">
        <f>C99</f>
        <v>Horizontale schroefpomp (kattenrug)</v>
      </c>
      <c r="V67" s="450">
        <f>100-('Consumententabel (achtergrond)'!AT129)</f>
        <v>100</v>
      </c>
      <c r="W67" s="450">
        <f>100-('Consumententabel (achtergrond)'!AU129)</f>
        <v>100</v>
      </c>
      <c r="X67" s="450">
        <f>100-('Consumententabel (achtergrond)'!AV129)</f>
        <v>100</v>
      </c>
      <c r="Y67" s="450">
        <f>100-('Consumententabel (achtergrond)'!BC129)</f>
        <v>100</v>
      </c>
      <c r="Z67" s="450">
        <f>100-('Consumententabel (achtergrond)'!BD129)</f>
        <v>100</v>
      </c>
      <c r="AA67" s="450">
        <f>100-('Consumententabel (achtergrond)'!BE129)</f>
        <v>100</v>
      </c>
      <c r="AB67" s="450"/>
      <c r="AC67" s="450">
        <f>100-('Consumententabel (achtergrond)'!BG129)</f>
        <v>100</v>
      </c>
      <c r="AD67" s="450">
        <f>100-('Consumententabel (achtergrond)'!BH129)</f>
        <v>100</v>
      </c>
      <c r="AE67" s="450">
        <f>100-('Consumententabel (achtergrond)'!BI129)</f>
        <v>100</v>
      </c>
      <c r="AF67" s="450">
        <f>100-('Consumententabel (achtergrond)'!BP129)</f>
        <v>100</v>
      </c>
      <c r="AG67" s="450">
        <f>100-('Consumententabel (achtergrond)'!BQ129)</f>
        <v>100</v>
      </c>
      <c r="AH67" s="450">
        <f>100-('Consumententabel (achtergrond)'!BR129)</f>
        <v>100</v>
      </c>
      <c r="AI67" s="450"/>
      <c r="AJ67" s="450"/>
      <c r="AK67" s="206"/>
      <c r="AL67" s="206"/>
      <c r="AM67" s="206"/>
    </row>
    <row r="68" spans="2:54">
      <c r="C68" s="197" t="str">
        <f t="shared" ref="C68:D71" si="5">C36</f>
        <v>Open schroefpomp</v>
      </c>
      <c r="D68" s="197" t="str">
        <f t="shared" si="5"/>
        <v>Axiaal</v>
      </c>
      <c r="F68" s="214">
        <f t="shared" ref="F68:K71" si="6">IF(ISNUMBER(F36),100-F36,"")</f>
        <v>84.666666666666671</v>
      </c>
      <c r="G68" s="214">
        <f t="shared" si="6"/>
        <v>74.166666666666671</v>
      </c>
      <c r="H68" s="214">
        <f t="shared" si="6"/>
        <v>73.666666666666671</v>
      </c>
      <c r="I68" s="214">
        <f t="shared" si="6"/>
        <v>91</v>
      </c>
      <c r="J68" s="214">
        <f t="shared" si="6"/>
        <v>78.5</v>
      </c>
      <c r="K68" s="214">
        <f t="shared" si="6"/>
        <v>89.75</v>
      </c>
      <c r="L68" s="334"/>
      <c r="M68" s="334"/>
      <c r="N68" s="334"/>
      <c r="O68" s="450"/>
      <c r="P68" s="454"/>
      <c r="Q68" s="454"/>
      <c r="R68" s="454"/>
      <c r="S68" s="454"/>
      <c r="T68" s="450"/>
      <c r="U68" s="450" t="str">
        <f t="shared" ref="U68:U71" si="7">C100</f>
        <v>Open schroefpomp</v>
      </c>
      <c r="V68" s="450">
        <f>100-('Consumententabel (achtergrond)'!AT130)</f>
        <v>100</v>
      </c>
      <c r="W68" s="450">
        <f>100-('Consumententabel (achtergrond)'!AU130)</f>
        <v>99</v>
      </c>
      <c r="X68" s="450">
        <f>100-('Consumententabel (achtergrond)'!AV130)</f>
        <v>99</v>
      </c>
      <c r="Y68" s="450">
        <f>100-('Consumententabel (achtergrond)'!BC130)</f>
        <v>99</v>
      </c>
      <c r="Z68" s="450">
        <f>100-('Consumententabel (achtergrond)'!BD130)</f>
        <v>100</v>
      </c>
      <c r="AA68" s="450">
        <f>100-('Consumententabel (achtergrond)'!BE130)</f>
        <v>99</v>
      </c>
      <c r="AB68" s="450"/>
      <c r="AC68" s="450">
        <f>100-('Consumententabel (achtergrond)'!BG130)</f>
        <v>62</v>
      </c>
      <c r="AD68" s="450">
        <f>100-('Consumententabel (achtergrond)'!BH130)</f>
        <v>0</v>
      </c>
      <c r="AE68" s="450">
        <f>100-('Consumententabel (achtergrond)'!BI130)</f>
        <v>0</v>
      </c>
      <c r="AF68" s="450">
        <f>100-('Consumententabel (achtergrond)'!BP130)</f>
        <v>81</v>
      </c>
      <c r="AG68" s="450">
        <f>100-('Consumententabel (achtergrond)'!BQ130)</f>
        <v>57</v>
      </c>
      <c r="AH68" s="450">
        <f>100-('Consumententabel (achtergrond)'!BR130)</f>
        <v>80</v>
      </c>
      <c r="AI68" s="450"/>
      <c r="AJ68" s="450"/>
      <c r="AK68" s="206"/>
      <c r="AL68" s="206"/>
      <c r="AM68" s="206"/>
    </row>
    <row r="69" spans="2:54">
      <c r="C69" s="197" t="str">
        <f t="shared" si="5"/>
        <v>Schroefpomp</v>
      </c>
      <c r="D69" s="197" t="str">
        <f t="shared" si="5"/>
        <v>Axiaal</v>
      </c>
      <c r="F69" s="214">
        <f t="shared" si="6"/>
        <v>33</v>
      </c>
      <c r="G69" s="214">
        <f t="shared" si="6"/>
        <v>82.2</v>
      </c>
      <c r="H69" s="214">
        <f t="shared" si="6"/>
        <v>80.8</v>
      </c>
      <c r="I69" s="214">
        <f t="shared" si="6"/>
        <v>79</v>
      </c>
      <c r="J69" s="214">
        <f t="shared" si="6"/>
        <v>68</v>
      </c>
      <c r="K69" s="214">
        <f t="shared" si="6"/>
        <v>78.5</v>
      </c>
      <c r="L69" s="334"/>
      <c r="M69" s="334"/>
      <c r="N69" s="334"/>
      <c r="O69" s="450"/>
      <c r="P69" s="454"/>
      <c r="Q69" s="454"/>
      <c r="R69" s="454"/>
      <c r="S69" s="454"/>
      <c r="T69" s="450"/>
      <c r="U69" s="450" t="str">
        <f t="shared" si="7"/>
        <v>Schroefpomp</v>
      </c>
      <c r="V69" s="450">
        <f>100-('Consumententabel (achtergrond)'!AT131)</f>
        <v>0</v>
      </c>
      <c r="W69" s="450">
        <f>100-('Consumententabel (achtergrond)'!AU131)</f>
        <v>71</v>
      </c>
      <c r="X69" s="450">
        <f>100-('Consumententabel (achtergrond)'!AV131)</f>
        <v>71</v>
      </c>
      <c r="Y69" s="450">
        <f>100-('Consumententabel (achtergrond)'!BC131)</f>
        <v>71</v>
      </c>
      <c r="Z69" s="450">
        <f>100-('Consumententabel (achtergrond)'!BD131)</f>
        <v>36</v>
      </c>
      <c r="AA69" s="450">
        <f>100-('Consumententabel (achtergrond)'!BE131)</f>
        <v>71</v>
      </c>
      <c r="AB69" s="450"/>
      <c r="AC69" s="450">
        <f>100-('Consumententabel (achtergrond)'!BG131)</f>
        <v>0</v>
      </c>
      <c r="AD69" s="450">
        <f>100-('Consumententabel (achtergrond)'!BH131)</f>
        <v>48</v>
      </c>
      <c r="AE69" s="450">
        <f>100-('Consumententabel (achtergrond)'!BI131)</f>
        <v>42</v>
      </c>
      <c r="AF69" s="450">
        <f>100-('Consumententabel (achtergrond)'!BP131)</f>
        <v>53</v>
      </c>
      <c r="AG69" s="450">
        <f>100-('Consumententabel (achtergrond)'!BQ131)</f>
        <v>36</v>
      </c>
      <c r="AH69" s="450">
        <f>100-('Consumententabel (achtergrond)'!BR131)</f>
        <v>51</v>
      </c>
      <c r="AI69" s="450"/>
      <c r="AJ69" s="450"/>
      <c r="AK69" s="206"/>
      <c r="AL69" s="206"/>
      <c r="AM69" s="206"/>
    </row>
    <row r="70" spans="2:54">
      <c r="C70" s="197" t="str">
        <f t="shared" si="5"/>
        <v>Faunapomp</v>
      </c>
      <c r="D70" s="197" t="str">
        <f t="shared" si="5"/>
        <v>Drukpomp</v>
      </c>
      <c r="F70" s="214" t="str">
        <f t="shared" si="6"/>
        <v/>
      </c>
      <c r="G70" s="214">
        <f t="shared" si="6"/>
        <v>100</v>
      </c>
      <c r="H70" s="214">
        <f t="shared" si="6"/>
        <v>100</v>
      </c>
      <c r="I70" s="214">
        <f t="shared" si="6"/>
        <v>100</v>
      </c>
      <c r="J70" s="214">
        <f t="shared" si="6"/>
        <v>100</v>
      </c>
      <c r="K70" s="214">
        <f t="shared" si="6"/>
        <v>100</v>
      </c>
      <c r="L70" s="334"/>
      <c r="M70" s="334"/>
      <c r="N70" s="334"/>
      <c r="O70" s="450"/>
      <c r="P70" s="454"/>
      <c r="Q70" s="454"/>
      <c r="R70" s="454"/>
      <c r="S70" s="454"/>
      <c r="T70" s="450"/>
      <c r="U70" s="450" t="str">
        <f t="shared" si="7"/>
        <v>Faunapomp</v>
      </c>
      <c r="V70" s="450">
        <f>100-('Consumententabel (achtergrond)'!AT132)</f>
        <v>100</v>
      </c>
      <c r="W70" s="450">
        <f>100-('Consumententabel (achtergrond)'!AU132)</f>
        <v>100</v>
      </c>
      <c r="X70" s="450">
        <f>100-('Consumententabel (achtergrond)'!AV132)</f>
        <v>100</v>
      </c>
      <c r="Y70" s="450">
        <f>100-('Consumententabel (achtergrond)'!BC132)</f>
        <v>100</v>
      </c>
      <c r="Z70" s="450">
        <f>100-('Consumententabel (achtergrond)'!BD132)</f>
        <v>100</v>
      </c>
      <c r="AA70" s="450">
        <f>100-('Consumententabel (achtergrond)'!BE132)</f>
        <v>100</v>
      </c>
      <c r="AB70" s="450"/>
      <c r="AC70" s="450">
        <f>100-('Consumententabel (achtergrond)'!BG132)</f>
        <v>100</v>
      </c>
      <c r="AD70" s="450">
        <f>100-('Consumententabel (achtergrond)'!BH132)</f>
        <v>100</v>
      </c>
      <c r="AE70" s="450">
        <f>100-('Consumententabel (achtergrond)'!BI132)</f>
        <v>100</v>
      </c>
      <c r="AF70" s="450">
        <f>100-('Consumententabel (achtergrond)'!BP132)</f>
        <v>100</v>
      </c>
      <c r="AG70" s="450">
        <f>100-('Consumententabel (achtergrond)'!BQ132)</f>
        <v>100</v>
      </c>
      <c r="AH70" s="450">
        <f>100-('Consumententabel (achtergrond)'!BR132)</f>
        <v>100</v>
      </c>
      <c r="AI70" s="450"/>
      <c r="AJ70" s="450"/>
      <c r="AK70" s="206"/>
      <c r="AL70" s="206"/>
      <c r="AM70" s="206"/>
    </row>
    <row r="71" spans="2:54">
      <c r="C71" s="197" t="str">
        <f t="shared" si="5"/>
        <v>Schepradgemaal</v>
      </c>
      <c r="D71" s="197" t="str">
        <f t="shared" si="5"/>
        <v>Scheprad</v>
      </c>
      <c r="F71" s="214" t="str">
        <f t="shared" si="6"/>
        <v/>
      </c>
      <c r="G71" s="214">
        <f t="shared" si="6"/>
        <v>100</v>
      </c>
      <c r="H71" s="214">
        <f t="shared" si="6"/>
        <v>100</v>
      </c>
      <c r="I71" s="214">
        <f t="shared" si="6"/>
        <v>100</v>
      </c>
      <c r="J71" s="214">
        <f t="shared" si="6"/>
        <v>100</v>
      </c>
      <c r="K71" s="214">
        <f t="shared" si="6"/>
        <v>100</v>
      </c>
      <c r="L71" s="334"/>
      <c r="M71" s="334"/>
      <c r="N71" s="334"/>
      <c r="O71" s="450"/>
      <c r="P71" s="451"/>
      <c r="Q71" s="450"/>
      <c r="R71" s="450"/>
      <c r="S71" s="450"/>
      <c r="T71" s="450"/>
      <c r="U71" s="450" t="str">
        <f t="shared" si="7"/>
        <v>Schepradgemaal</v>
      </c>
      <c r="V71" s="450">
        <f>100-('Consumententabel (achtergrond)'!AT133)</f>
        <v>100</v>
      </c>
      <c r="W71" s="450">
        <f>100-('Consumententabel (achtergrond)'!AU133)</f>
        <v>100</v>
      </c>
      <c r="X71" s="450">
        <f>100-('Consumententabel (achtergrond)'!AV133)</f>
        <v>100</v>
      </c>
      <c r="Y71" s="450">
        <f>100-('Consumententabel (achtergrond)'!BC133)</f>
        <v>100</v>
      </c>
      <c r="Z71" s="450">
        <f>100-('Consumententabel (achtergrond)'!BD133)</f>
        <v>100</v>
      </c>
      <c r="AA71" s="450">
        <f>100-('Consumententabel (achtergrond)'!BE133)</f>
        <v>100</v>
      </c>
      <c r="AB71" s="450"/>
      <c r="AC71" s="450">
        <f>100-('Consumententabel (achtergrond)'!BG133)</f>
        <v>100</v>
      </c>
      <c r="AD71" s="450">
        <f>100-('Consumententabel (achtergrond)'!BH133)</f>
        <v>100</v>
      </c>
      <c r="AE71" s="450">
        <f>100-('Consumententabel (achtergrond)'!BI133)</f>
        <v>100</v>
      </c>
      <c r="AF71" s="450">
        <f>100-('Consumententabel (achtergrond)'!BP133)</f>
        <v>100</v>
      </c>
      <c r="AG71" s="450">
        <f>100-('Consumententabel (achtergrond)'!BQ133)</f>
        <v>100</v>
      </c>
      <c r="AH71" s="450">
        <f>100-('Consumententabel (achtergrond)'!BR133)</f>
        <v>100</v>
      </c>
      <c r="AI71" s="450"/>
      <c r="AJ71" s="450"/>
      <c r="AK71" s="206"/>
      <c r="AL71" s="206"/>
      <c r="AM71" s="206"/>
    </row>
    <row r="72" spans="2:54">
      <c r="F72" s="214"/>
      <c r="G72" s="214"/>
      <c r="H72" s="214"/>
      <c r="I72" s="214"/>
      <c r="J72" s="214"/>
      <c r="K72" s="214"/>
      <c r="L72" s="214"/>
      <c r="M72" s="214"/>
      <c r="N72" s="214"/>
      <c r="O72" s="450"/>
      <c r="P72" s="451"/>
      <c r="Q72" s="450"/>
      <c r="R72" s="450"/>
      <c r="S72" s="450"/>
      <c r="T72" s="450"/>
      <c r="U72" s="450"/>
      <c r="V72" s="450"/>
      <c r="W72" s="450"/>
      <c r="X72" s="450"/>
      <c r="Y72" s="450"/>
      <c r="Z72" s="450"/>
      <c r="AA72" s="450"/>
      <c r="AB72" s="450"/>
      <c r="AC72" s="450"/>
      <c r="AD72" s="450"/>
      <c r="AE72" s="450"/>
      <c r="AF72" s="450"/>
      <c r="AG72" s="450"/>
      <c r="AH72" s="450"/>
      <c r="AI72" s="450"/>
      <c r="AJ72" s="450"/>
      <c r="AK72" s="206"/>
      <c r="AL72" s="206"/>
      <c r="AM72" s="206"/>
      <c r="AN72" s="211"/>
      <c r="AO72" s="206"/>
      <c r="AP72" s="206"/>
      <c r="AQ72" s="206"/>
      <c r="AR72" s="206"/>
    </row>
    <row r="73" spans="2:54" ht="12.75" customHeight="1">
      <c r="B73" s="212"/>
      <c r="O73" s="450"/>
      <c r="P73" s="450"/>
      <c r="Q73" s="451"/>
      <c r="R73" s="450"/>
      <c r="S73" s="450"/>
      <c r="T73" s="450"/>
      <c r="U73" s="450"/>
      <c r="V73" s="450"/>
      <c r="W73" s="450"/>
      <c r="X73" s="450"/>
      <c r="Y73" s="450"/>
      <c r="Z73" s="450"/>
      <c r="AA73" s="450"/>
      <c r="AB73" s="450"/>
      <c r="AC73" s="450"/>
      <c r="AD73" s="450"/>
      <c r="AE73" s="450"/>
      <c r="AF73" s="450"/>
      <c r="AG73" s="450"/>
      <c r="AH73" s="450"/>
      <c r="AI73" s="450"/>
      <c r="AJ73" s="450"/>
      <c r="AK73" s="206"/>
      <c r="AL73" s="206"/>
      <c r="AM73" s="206"/>
      <c r="AN73" s="211"/>
      <c r="AO73" s="206"/>
      <c r="AP73" s="206"/>
      <c r="AQ73" s="206"/>
      <c r="AR73" s="206"/>
      <c r="AS73" s="206"/>
    </row>
    <row r="74" spans="2:54" ht="12.75" customHeight="1">
      <c r="B74" s="427">
        <v>2</v>
      </c>
      <c r="C74" s="189" t="s">
        <v>1</v>
      </c>
      <c r="D74" s="190"/>
      <c r="E74" s="190"/>
      <c r="F74" s="189"/>
      <c r="G74" s="190"/>
      <c r="H74" s="190"/>
      <c r="I74" s="190"/>
      <c r="J74" s="190"/>
      <c r="K74" s="190"/>
      <c r="L74" s="190"/>
      <c r="M74" s="190"/>
      <c r="N74" s="190"/>
      <c r="O74" s="455"/>
      <c r="P74" s="451"/>
      <c r="Q74" s="452"/>
      <c r="R74" s="450"/>
      <c r="S74" s="450"/>
      <c r="T74" s="450"/>
      <c r="U74" s="450"/>
      <c r="V74" s="450"/>
      <c r="W74" s="450"/>
      <c r="X74" s="450"/>
      <c r="Y74" s="450"/>
      <c r="Z74" s="450"/>
      <c r="AA74" s="450"/>
      <c r="AB74" s="450"/>
      <c r="AC74" s="450"/>
      <c r="AD74" s="450"/>
      <c r="AE74" s="450"/>
      <c r="AF74" s="450"/>
      <c r="AG74" s="450"/>
      <c r="AH74" s="450"/>
      <c r="AI74" s="450"/>
      <c r="AJ74" s="450"/>
      <c r="AK74" s="206"/>
      <c r="AL74" s="206"/>
      <c r="AM74" s="206"/>
      <c r="AN74" s="211"/>
      <c r="AO74" s="206"/>
      <c r="AP74" s="206"/>
      <c r="AQ74" s="206"/>
      <c r="AR74" s="206"/>
      <c r="AS74" s="206"/>
    </row>
    <row r="75" spans="2:54" ht="12.75" customHeight="1">
      <c r="B75" s="427"/>
      <c r="C75" s="198"/>
      <c r="F75" s="198"/>
      <c r="O75" s="450"/>
      <c r="P75" s="450"/>
      <c r="Q75" s="451"/>
      <c r="R75" s="452"/>
      <c r="S75" s="450"/>
      <c r="T75" s="450"/>
      <c r="U75" s="450"/>
      <c r="V75" s="450"/>
      <c r="W75" s="450"/>
      <c r="X75" s="450"/>
      <c r="Y75" s="450"/>
      <c r="Z75" s="450"/>
      <c r="AA75" s="450"/>
      <c r="AB75" s="450"/>
      <c r="AC75" s="450"/>
      <c r="AD75" s="450"/>
      <c r="AE75" s="450"/>
      <c r="AF75" s="450"/>
      <c r="AG75" s="450"/>
      <c r="AH75" s="450"/>
      <c r="AI75" s="450"/>
      <c r="AJ75" s="450"/>
      <c r="AK75" s="206"/>
      <c r="AL75" s="206"/>
      <c r="AM75" s="206"/>
    </row>
    <row r="76" spans="2:54" ht="12.75" customHeight="1">
      <c r="B76" s="427"/>
      <c r="E76" s="238" t="s">
        <v>16</v>
      </c>
      <c r="F76" s="216" t="str">
        <f>VLOOKUP(G8,D158:E166,2)</f>
        <v>totaal</v>
      </c>
      <c r="G76" s="216"/>
      <c r="H76" s="216"/>
      <c r="I76" s="216"/>
      <c r="O76" s="450" t="s">
        <v>290</v>
      </c>
      <c r="P76" s="450"/>
      <c r="Q76" s="456"/>
      <c r="R76" s="450"/>
      <c r="S76" s="450"/>
      <c r="T76" s="450"/>
      <c r="U76" s="450"/>
      <c r="V76" s="451"/>
      <c r="W76" s="450"/>
      <c r="X76" s="450"/>
      <c r="Y76" s="450"/>
      <c r="Z76" s="450"/>
      <c r="AA76" s="450"/>
      <c r="AB76" s="450"/>
      <c r="AC76" s="450"/>
      <c r="AD76" s="450"/>
      <c r="AE76" s="450"/>
      <c r="AF76" s="450"/>
      <c r="AG76" s="450"/>
      <c r="AH76" s="450"/>
      <c r="AI76" s="450"/>
      <c r="AJ76" s="450"/>
      <c r="AK76" s="206"/>
      <c r="AL76" s="206"/>
      <c r="AM76" s="206"/>
      <c r="AN76" s="206"/>
      <c r="AO76" s="206"/>
      <c r="AP76" s="206"/>
      <c r="AQ76" s="206"/>
      <c r="AR76" s="206"/>
      <c r="AS76" s="206" t="s">
        <v>287</v>
      </c>
      <c r="AT76" s="206"/>
      <c r="AU76" s="206"/>
      <c r="AV76" s="206"/>
      <c r="AW76" s="206"/>
      <c r="AX76" s="206"/>
      <c r="AY76" s="206"/>
      <c r="AZ76" s="206"/>
      <c r="BA76" s="206"/>
      <c r="BB76" s="206"/>
    </row>
    <row r="77" spans="2:54" ht="12.75" customHeight="1">
      <c r="B77" s="212"/>
      <c r="E77" s="238"/>
      <c r="F77" s="216"/>
      <c r="G77" s="216"/>
      <c r="H77" s="216"/>
      <c r="I77" s="216"/>
      <c r="N77" s="405"/>
      <c r="O77" s="450"/>
      <c r="P77" s="450"/>
      <c r="Q77" s="456"/>
      <c r="R77" s="450"/>
      <c r="S77" s="450"/>
      <c r="T77" s="450"/>
      <c r="U77" s="450"/>
      <c r="V77" s="451"/>
      <c r="W77" s="450"/>
      <c r="X77" s="450"/>
      <c r="Y77" s="450"/>
      <c r="Z77" s="450"/>
      <c r="AA77" s="450"/>
      <c r="AB77" s="450"/>
      <c r="AC77" s="450"/>
      <c r="AD77" s="450"/>
      <c r="AE77" s="450"/>
      <c r="AF77" s="450"/>
      <c r="AG77" s="450"/>
      <c r="AH77" s="450"/>
      <c r="AI77" s="450"/>
      <c r="AJ77" s="450"/>
      <c r="AK77" s="405"/>
      <c r="AL77" s="405"/>
      <c r="AM77" s="405"/>
      <c r="AN77" s="405"/>
      <c r="AO77" s="405"/>
      <c r="AP77" s="405"/>
      <c r="AQ77" s="405"/>
      <c r="AR77" s="405"/>
      <c r="AS77" s="405"/>
      <c r="AT77" s="405"/>
      <c r="AU77" s="405"/>
      <c r="AV77" s="405"/>
      <c r="AW77" s="405"/>
      <c r="AX77" s="405"/>
      <c r="AY77" s="405"/>
      <c r="AZ77" s="405"/>
      <c r="BA77" s="405"/>
      <c r="BB77" s="206"/>
    </row>
    <row r="78" spans="2:54" ht="12.75" customHeight="1">
      <c r="B78" s="212"/>
      <c r="C78" s="229" t="s">
        <v>341</v>
      </c>
      <c r="E78" s="238"/>
      <c r="F78" s="216"/>
      <c r="G78" s="216"/>
      <c r="H78" s="216"/>
      <c r="I78" s="216"/>
      <c r="N78" s="405"/>
      <c r="O78" s="450"/>
      <c r="P78" s="450"/>
      <c r="Q78" s="456"/>
      <c r="R78" s="450"/>
      <c r="S78" s="450"/>
      <c r="T78" s="450"/>
      <c r="U78" s="450"/>
      <c r="V78" s="451"/>
      <c r="W78" s="450"/>
      <c r="X78" s="450"/>
      <c r="Y78" s="450"/>
      <c r="Z78" s="450"/>
      <c r="AA78" s="450"/>
      <c r="AB78" s="450"/>
      <c r="AC78" s="450"/>
      <c r="AD78" s="450"/>
      <c r="AE78" s="450"/>
      <c r="AF78" s="450"/>
      <c r="AG78" s="450"/>
      <c r="AH78" s="450"/>
      <c r="AI78" s="450"/>
      <c r="AJ78" s="450"/>
      <c r="AK78" s="405"/>
      <c r="AL78" s="405"/>
      <c r="AM78" s="405"/>
      <c r="AN78" s="405"/>
      <c r="AO78" s="405"/>
      <c r="AP78" s="405"/>
      <c r="AQ78" s="405"/>
      <c r="AR78" s="405"/>
      <c r="AS78" s="405"/>
      <c r="AT78" s="405"/>
      <c r="AU78" s="405"/>
      <c r="AV78" s="405"/>
      <c r="AW78" s="405"/>
      <c r="AX78" s="405"/>
      <c r="AY78" s="405"/>
      <c r="AZ78" s="405"/>
      <c r="BA78" s="405"/>
    </row>
    <row r="79" spans="2:54" ht="12.75" customHeight="1">
      <c r="B79" s="212"/>
      <c r="D79" s="238"/>
      <c r="E79" s="228"/>
      <c r="F79" s="216"/>
      <c r="G79" s="216"/>
      <c r="H79" s="216"/>
      <c r="I79" s="216"/>
      <c r="N79" s="416"/>
      <c r="O79" s="450"/>
      <c r="P79" s="450" t="s">
        <v>353</v>
      </c>
      <c r="Q79" s="456"/>
      <c r="R79" s="450"/>
      <c r="S79" s="450"/>
      <c r="T79" s="450"/>
      <c r="U79" s="450"/>
      <c r="V79" s="451"/>
      <c r="W79" s="450"/>
      <c r="X79" s="450"/>
      <c r="Y79" s="450"/>
      <c r="Z79" s="450" t="s">
        <v>292</v>
      </c>
      <c r="AA79" s="450"/>
      <c r="AB79" s="450"/>
      <c r="AC79" s="450"/>
      <c r="AD79" s="450"/>
      <c r="AE79" s="450"/>
      <c r="AF79" s="450"/>
      <c r="AG79" s="450" t="s">
        <v>291</v>
      </c>
      <c r="AH79" s="450"/>
      <c r="AI79" s="450"/>
      <c r="AJ79" s="450"/>
      <c r="AK79" s="416"/>
      <c r="AL79" s="416"/>
      <c r="AM79" s="416"/>
      <c r="AN79" s="416" t="s">
        <v>287</v>
      </c>
      <c r="AO79" s="416"/>
      <c r="AP79" s="416"/>
      <c r="AQ79" s="416"/>
      <c r="AR79" s="416"/>
      <c r="AS79" s="416"/>
      <c r="AT79" s="416"/>
      <c r="AU79" s="416"/>
      <c r="AV79" s="405"/>
      <c r="AW79" s="405"/>
      <c r="AX79" s="405"/>
      <c r="AY79" s="405"/>
      <c r="AZ79" s="405"/>
      <c r="BA79" s="405"/>
    </row>
    <row r="80" spans="2:54" ht="108" customHeight="1">
      <c r="B80" s="218"/>
      <c r="C80" s="223" t="s">
        <v>337</v>
      </c>
      <c r="D80" s="224" t="str">
        <f t="shared" ref="D80:D85" si="8">D48</f>
        <v>hoofdtype opvoerwerk</v>
      </c>
      <c r="E80" s="223"/>
      <c r="F80" s="225" t="s">
        <v>290</v>
      </c>
      <c r="G80" s="284"/>
      <c r="H80" s="225" t="s">
        <v>293</v>
      </c>
      <c r="I80" s="307"/>
      <c r="J80" s="225" t="s">
        <v>287</v>
      </c>
      <c r="K80" s="225" t="s">
        <v>291</v>
      </c>
      <c r="L80" s="225" t="s">
        <v>292</v>
      </c>
      <c r="M80" s="305"/>
      <c r="N80" s="416"/>
      <c r="O80" s="450"/>
      <c r="P80" s="453" t="str">
        <f t="shared" ref="P80:X80" si="9">F48</f>
        <v>aal</v>
      </c>
      <c r="Q80" s="453" t="str">
        <f t="shared" si="9"/>
        <v xml:space="preserve">overige vissoorten </v>
      </c>
      <c r="R80" s="453" t="str">
        <f t="shared" si="9"/>
        <v>totaal</v>
      </c>
      <c r="S80" s="453" t="str">
        <f t="shared" si="9"/>
        <v>schubvis &lt;15cm</v>
      </c>
      <c r="T80" s="453" t="str">
        <f t="shared" si="9"/>
        <v>schubvis &gt;15cm</v>
      </c>
      <c r="U80" s="453" t="str">
        <f t="shared" si="9"/>
        <v>totaal schubvis</v>
      </c>
      <c r="V80" s="453">
        <f t="shared" si="9"/>
        <v>0</v>
      </c>
      <c r="W80" s="453">
        <f t="shared" si="9"/>
        <v>0</v>
      </c>
      <c r="X80" s="453">
        <f t="shared" si="9"/>
        <v>0</v>
      </c>
      <c r="Y80" s="450"/>
      <c r="Z80" s="453" t="str">
        <f t="shared" ref="Z80:AE80" si="10">V48</f>
        <v>aal</v>
      </c>
      <c r="AA80" s="453" t="str">
        <f t="shared" si="10"/>
        <v xml:space="preserve">overige vissoorten </v>
      </c>
      <c r="AB80" s="453" t="str">
        <f t="shared" si="10"/>
        <v>totaal</v>
      </c>
      <c r="AC80" s="453" t="str">
        <f t="shared" si="10"/>
        <v>schubvis &lt;15cm</v>
      </c>
      <c r="AD80" s="453" t="str">
        <f t="shared" si="10"/>
        <v>schubvis &gt;15cm</v>
      </c>
      <c r="AE80" s="453" t="str">
        <f t="shared" si="10"/>
        <v>totaal schubvis</v>
      </c>
      <c r="AF80" s="450"/>
      <c r="AG80" s="453" t="str">
        <f t="shared" ref="AG80:AL80" si="11">AC48</f>
        <v>aal</v>
      </c>
      <c r="AH80" s="453" t="str">
        <f t="shared" si="11"/>
        <v xml:space="preserve">overige vissoorten </v>
      </c>
      <c r="AI80" s="453" t="str">
        <f t="shared" si="11"/>
        <v>totaal</v>
      </c>
      <c r="AJ80" s="453" t="str">
        <f t="shared" si="11"/>
        <v>schubvis &lt;15cm</v>
      </c>
      <c r="AK80" s="418" t="str">
        <f t="shared" si="11"/>
        <v>schubvis &gt;15cm</v>
      </c>
      <c r="AL80" s="418" t="str">
        <f t="shared" si="11"/>
        <v>totaal schubvis</v>
      </c>
      <c r="AM80" s="416"/>
      <c r="AN80" s="418" t="str">
        <f t="shared" ref="AN80:AS80" si="12">Z80</f>
        <v>aal</v>
      </c>
      <c r="AO80" s="418" t="str">
        <f t="shared" si="12"/>
        <v xml:space="preserve">overige vissoorten </v>
      </c>
      <c r="AP80" s="418" t="str">
        <f t="shared" si="12"/>
        <v>totaal</v>
      </c>
      <c r="AQ80" s="418" t="str">
        <f t="shared" si="12"/>
        <v>schubvis &lt;15cm</v>
      </c>
      <c r="AR80" s="418" t="str">
        <f t="shared" si="12"/>
        <v>schubvis &gt;15cm</v>
      </c>
      <c r="AS80" s="418" t="str">
        <f t="shared" si="12"/>
        <v>totaal schubvis</v>
      </c>
      <c r="AT80" s="416"/>
      <c r="AU80" s="416"/>
      <c r="AV80" s="405"/>
      <c r="AW80" s="405"/>
      <c r="AX80" s="405"/>
      <c r="AY80" s="405"/>
      <c r="AZ80" s="405"/>
      <c r="BA80" s="405"/>
    </row>
    <row r="81" spans="3:53" ht="16.5" customHeight="1">
      <c r="C81" s="197" t="str">
        <f>C49</f>
        <v>Buisvijzel FFI</v>
      </c>
      <c r="D81" s="197" t="str">
        <f t="shared" si="8"/>
        <v>Vijzel</v>
      </c>
      <c r="E81" s="206">
        <v>1.9999999999999999E-6</v>
      </c>
      <c r="F81" s="287">
        <f t="shared" ref="F81:F103" si="13">IF(COUNT(P81:X81)=9,SUM(P81:X81),"")</f>
        <v>99.333333333333329</v>
      </c>
      <c r="G81" s="226"/>
      <c r="H81" s="226">
        <f>IF(COUNT(P81:X81)=9,(SUM(E81,P81:X81)/100),"")</f>
        <v>0.99333335333333328</v>
      </c>
      <c r="I81" s="308"/>
      <c r="J81" s="219">
        <f>SUM(AN81:AS81)</f>
        <v>3</v>
      </c>
      <c r="K81" s="197">
        <f t="shared" ref="K81:K103" si="14">SUM(AG81:AL81)</f>
        <v>99</v>
      </c>
      <c r="L81" s="197">
        <f t="shared" ref="L81:L103" si="15">SUM(Z81:AE81)</f>
        <v>100</v>
      </c>
      <c r="M81" s="306"/>
      <c r="N81" s="419" t="str">
        <f>C81</f>
        <v>Buisvijzel FFI</v>
      </c>
      <c r="O81" s="457">
        <f>IF(ISNUMBER(H81),H81,"")</f>
        <v>0.99333335333333328</v>
      </c>
      <c r="P81" s="450">
        <f t="shared" ref="P81:P86" si="16">IF($G$8=1,F49,0)</f>
        <v>0</v>
      </c>
      <c r="Q81" s="450">
        <f t="shared" ref="Q81:Q86" si="17">IF($G$8=2,G49,0)</f>
        <v>0</v>
      </c>
      <c r="R81" s="450">
        <f t="shared" ref="R81:R86" si="18">IF($G$8=3,H49,0)</f>
        <v>99.333333333333329</v>
      </c>
      <c r="S81" s="450">
        <f t="shared" ref="S81:S86" si="19">IF($G$8=4,I49,0)</f>
        <v>0</v>
      </c>
      <c r="T81" s="450">
        <f t="shared" ref="T81:T86" si="20">IF($G$8=5,J49,0)</f>
        <v>0</v>
      </c>
      <c r="U81" s="450">
        <f t="shared" ref="U81:U86" si="21">IF($G$8=6,K49,0)</f>
        <v>0</v>
      </c>
      <c r="V81" s="450">
        <f t="shared" ref="V81:V86" si="22">IF($G$8=7,L49,0)</f>
        <v>0</v>
      </c>
      <c r="W81" s="450">
        <f t="shared" ref="W81:W86" si="23">IF($G$8=8,M49,0)</f>
        <v>0</v>
      </c>
      <c r="X81" s="450">
        <f t="shared" ref="X81:X86" si="24">IF($G$8=9,N49,0)</f>
        <v>0</v>
      </c>
      <c r="Y81" s="450"/>
      <c r="Z81" s="450">
        <f t="shared" ref="Z81:Z86" si="25">IF($G$8=1,V49,0)</f>
        <v>0</v>
      </c>
      <c r="AA81" s="450">
        <f t="shared" ref="AA81:AA86" si="26">IF($G$8=2,W49,0)</f>
        <v>0</v>
      </c>
      <c r="AB81" s="450">
        <f t="shared" ref="AB81:AB86" si="27">IF($G$8=3,X49,0)</f>
        <v>100</v>
      </c>
      <c r="AC81" s="450">
        <f t="shared" ref="AC81:AC86" si="28">IF($G$8=4,Y49,0)</f>
        <v>0</v>
      </c>
      <c r="AD81" s="450">
        <f t="shared" ref="AD81:AD86" si="29">IF($G$8=5,Z49,0)</f>
        <v>0</v>
      </c>
      <c r="AE81" s="450">
        <f t="shared" ref="AE81:AE86" si="30">IF($G$8=6,AA49,0)</f>
        <v>0</v>
      </c>
      <c r="AF81" s="450"/>
      <c r="AG81" s="450">
        <f t="shared" ref="AG81:AG86" si="31">IF($G$8=1,AC49,0)</f>
        <v>0</v>
      </c>
      <c r="AH81" s="450">
        <f t="shared" ref="AH81:AH86" si="32">IF($G$8=2,AD49,0)</f>
        <v>0</v>
      </c>
      <c r="AI81" s="450">
        <f t="shared" ref="AI81:AI86" si="33">IF($G$8=3,AE49,0)</f>
        <v>99</v>
      </c>
      <c r="AJ81" s="450">
        <f t="shared" ref="AJ81:AJ86" si="34">IF($G$8=4,AF49,0)</f>
        <v>0</v>
      </c>
      <c r="AK81" s="416">
        <f t="shared" ref="AK81:AK86" si="35">IF($G$8=5,AG49,0)</f>
        <v>0</v>
      </c>
      <c r="AL81" s="416">
        <f t="shared" ref="AL81:AL86" si="36">IF($G$8=6,AH49,0)</f>
        <v>0</v>
      </c>
      <c r="AM81" s="416"/>
      <c r="AN81" s="416">
        <f t="shared" ref="AN81:AN86" si="37">IF($G$8=1,T17,0)</f>
        <v>0</v>
      </c>
      <c r="AO81" s="416">
        <f t="shared" ref="AO81:AO86" si="38">IF($G$8=2,U17,0)</f>
        <v>0</v>
      </c>
      <c r="AP81" s="416">
        <f t="shared" ref="AP81:AP86" si="39">IF($G$8=3,V17,0)</f>
        <v>3</v>
      </c>
      <c r="AQ81" s="416">
        <f t="shared" ref="AQ81:AQ86" si="40">IF($G$8=4,W17,0)</f>
        <v>0</v>
      </c>
      <c r="AR81" s="416">
        <f t="shared" ref="AR81:AR86" si="41">IF($G$8=5,X17,0)</f>
        <v>0</v>
      </c>
      <c r="AS81" s="416">
        <f t="shared" ref="AS81:AS86" si="42">IF($G$8=6,Y17,0)</f>
        <v>0</v>
      </c>
      <c r="AT81" s="416"/>
      <c r="AU81" s="416"/>
      <c r="AV81" s="405"/>
      <c r="AW81" s="405"/>
      <c r="AX81" s="405"/>
      <c r="AY81" s="405"/>
      <c r="AZ81" s="405"/>
      <c r="BA81" s="405"/>
    </row>
    <row r="82" spans="3:53" ht="16.5" customHeight="1">
      <c r="C82" s="197" t="str">
        <f>C50</f>
        <v>De Wit vijzel</v>
      </c>
      <c r="D82" s="197" t="str">
        <f t="shared" si="8"/>
        <v>Vijzel</v>
      </c>
      <c r="E82" s="206">
        <v>9.9999999999999995E-7</v>
      </c>
      <c r="F82" s="287">
        <f t="shared" si="13"/>
        <v>99.666666666666671</v>
      </c>
      <c r="G82" s="226"/>
      <c r="H82" s="226">
        <f t="shared" ref="H82:H103" si="43">IF(COUNT(P82:X82)=9,(SUM(E82,P82:X82)/100),"")</f>
        <v>0.99666667666666664</v>
      </c>
      <c r="I82" s="308"/>
      <c r="J82" s="219">
        <f t="shared" ref="J82:J103" si="44">SUM(AN82:AS82)</f>
        <v>3</v>
      </c>
      <c r="K82" s="197">
        <f t="shared" si="14"/>
        <v>99</v>
      </c>
      <c r="L82" s="197">
        <f t="shared" si="15"/>
        <v>100</v>
      </c>
      <c r="M82" s="306"/>
      <c r="N82" s="419" t="str">
        <f t="shared" ref="N82:N103" si="45">C82</f>
        <v>De Wit vijzel</v>
      </c>
      <c r="O82" s="457">
        <f t="shared" ref="O82:O103" si="46">IF(ISNUMBER(H82),H82,"")</f>
        <v>0.99666667666666664</v>
      </c>
      <c r="P82" s="450">
        <f t="shared" si="16"/>
        <v>0</v>
      </c>
      <c r="Q82" s="450">
        <f t="shared" si="17"/>
        <v>0</v>
      </c>
      <c r="R82" s="450">
        <f t="shared" si="18"/>
        <v>99.666666666666671</v>
      </c>
      <c r="S82" s="450">
        <f t="shared" si="19"/>
        <v>0</v>
      </c>
      <c r="T82" s="450">
        <f t="shared" si="20"/>
        <v>0</v>
      </c>
      <c r="U82" s="450">
        <f t="shared" si="21"/>
        <v>0</v>
      </c>
      <c r="V82" s="450">
        <f t="shared" si="22"/>
        <v>0</v>
      </c>
      <c r="W82" s="450">
        <f t="shared" si="23"/>
        <v>0</v>
      </c>
      <c r="X82" s="450">
        <f t="shared" si="24"/>
        <v>0</v>
      </c>
      <c r="Y82" s="450"/>
      <c r="Z82" s="450">
        <f t="shared" si="25"/>
        <v>0</v>
      </c>
      <c r="AA82" s="450">
        <f t="shared" si="26"/>
        <v>0</v>
      </c>
      <c r="AB82" s="450">
        <f t="shared" si="27"/>
        <v>100</v>
      </c>
      <c r="AC82" s="450">
        <f t="shared" si="28"/>
        <v>0</v>
      </c>
      <c r="AD82" s="450">
        <f t="shared" si="29"/>
        <v>0</v>
      </c>
      <c r="AE82" s="450">
        <f t="shared" si="30"/>
        <v>0</v>
      </c>
      <c r="AF82" s="450"/>
      <c r="AG82" s="450">
        <f t="shared" si="31"/>
        <v>0</v>
      </c>
      <c r="AH82" s="450">
        <f t="shared" si="32"/>
        <v>0</v>
      </c>
      <c r="AI82" s="450">
        <f t="shared" si="33"/>
        <v>99</v>
      </c>
      <c r="AJ82" s="450">
        <f t="shared" si="34"/>
        <v>0</v>
      </c>
      <c r="AK82" s="416">
        <f t="shared" si="35"/>
        <v>0</v>
      </c>
      <c r="AL82" s="416">
        <f t="shared" si="36"/>
        <v>0</v>
      </c>
      <c r="AM82" s="416"/>
      <c r="AN82" s="416">
        <f t="shared" si="37"/>
        <v>0</v>
      </c>
      <c r="AO82" s="416">
        <f t="shared" si="38"/>
        <v>0</v>
      </c>
      <c r="AP82" s="416">
        <f t="shared" si="39"/>
        <v>3</v>
      </c>
      <c r="AQ82" s="416">
        <f t="shared" si="40"/>
        <v>0</v>
      </c>
      <c r="AR82" s="416">
        <f t="shared" si="41"/>
        <v>0</v>
      </c>
      <c r="AS82" s="416">
        <f t="shared" si="42"/>
        <v>0</v>
      </c>
      <c r="AT82" s="416"/>
      <c r="AU82" s="416"/>
      <c r="AV82" s="405"/>
      <c r="AW82" s="405"/>
      <c r="AX82" s="405"/>
      <c r="AY82" s="405"/>
      <c r="AZ82" s="405"/>
      <c r="BA82" s="405"/>
    </row>
    <row r="83" spans="3:53" ht="16.5" customHeight="1">
      <c r="C83" s="197" t="str">
        <f>C51</f>
        <v>Vijzel</v>
      </c>
      <c r="D83" s="197" t="str">
        <f t="shared" si="8"/>
        <v>Vijzel</v>
      </c>
      <c r="E83" s="206">
        <v>3.0000000000000001E-6</v>
      </c>
      <c r="F83" s="287">
        <f t="shared" si="13"/>
        <v>94.230769230769226</v>
      </c>
      <c r="G83" s="226"/>
      <c r="H83" s="226">
        <f t="shared" si="43"/>
        <v>0.94230772230769233</v>
      </c>
      <c r="I83" s="308"/>
      <c r="J83" s="219">
        <f t="shared" si="44"/>
        <v>13</v>
      </c>
      <c r="K83" s="197">
        <f t="shared" si="14"/>
        <v>96</v>
      </c>
      <c r="L83" s="197">
        <f t="shared" si="15"/>
        <v>100</v>
      </c>
      <c r="M83" s="306"/>
      <c r="N83" s="419" t="str">
        <f t="shared" si="45"/>
        <v>Vijzel</v>
      </c>
      <c r="O83" s="457">
        <f t="shared" si="46"/>
        <v>0.94230772230769233</v>
      </c>
      <c r="P83" s="450">
        <f t="shared" si="16"/>
        <v>0</v>
      </c>
      <c r="Q83" s="450">
        <f t="shared" si="17"/>
        <v>0</v>
      </c>
      <c r="R83" s="450">
        <f t="shared" si="18"/>
        <v>94.230769230769226</v>
      </c>
      <c r="S83" s="450">
        <f t="shared" si="19"/>
        <v>0</v>
      </c>
      <c r="T83" s="450">
        <f t="shared" si="20"/>
        <v>0</v>
      </c>
      <c r="U83" s="450">
        <f t="shared" si="21"/>
        <v>0</v>
      </c>
      <c r="V83" s="450">
        <f t="shared" si="22"/>
        <v>0</v>
      </c>
      <c r="W83" s="450">
        <f t="shared" si="23"/>
        <v>0</v>
      </c>
      <c r="X83" s="450">
        <f t="shared" si="24"/>
        <v>0</v>
      </c>
      <c r="Y83" s="450"/>
      <c r="Z83" s="450">
        <f t="shared" si="25"/>
        <v>0</v>
      </c>
      <c r="AA83" s="450">
        <f t="shared" si="26"/>
        <v>0</v>
      </c>
      <c r="AB83" s="450">
        <f t="shared" si="27"/>
        <v>100</v>
      </c>
      <c r="AC83" s="450">
        <f t="shared" si="28"/>
        <v>0</v>
      </c>
      <c r="AD83" s="450">
        <f t="shared" si="29"/>
        <v>0</v>
      </c>
      <c r="AE83" s="450">
        <f t="shared" si="30"/>
        <v>0</v>
      </c>
      <c r="AF83" s="450"/>
      <c r="AG83" s="450">
        <f t="shared" si="31"/>
        <v>0</v>
      </c>
      <c r="AH83" s="450">
        <f t="shared" si="32"/>
        <v>0</v>
      </c>
      <c r="AI83" s="450">
        <f t="shared" si="33"/>
        <v>96</v>
      </c>
      <c r="AJ83" s="450">
        <f t="shared" si="34"/>
        <v>0</v>
      </c>
      <c r="AK83" s="416">
        <f t="shared" si="35"/>
        <v>0</v>
      </c>
      <c r="AL83" s="416">
        <f t="shared" si="36"/>
        <v>0</v>
      </c>
      <c r="AM83" s="416"/>
      <c r="AN83" s="416">
        <f t="shared" si="37"/>
        <v>0</v>
      </c>
      <c r="AO83" s="416">
        <f t="shared" si="38"/>
        <v>0</v>
      </c>
      <c r="AP83" s="416">
        <f t="shared" si="39"/>
        <v>13</v>
      </c>
      <c r="AQ83" s="416">
        <f t="shared" si="40"/>
        <v>0</v>
      </c>
      <c r="AR83" s="416">
        <f t="shared" si="41"/>
        <v>0</v>
      </c>
      <c r="AS83" s="416">
        <f t="shared" si="42"/>
        <v>0</v>
      </c>
      <c r="AT83" s="416"/>
      <c r="AU83" s="416"/>
      <c r="AV83" s="405"/>
      <c r="AW83" s="405"/>
      <c r="AX83" s="405"/>
      <c r="AY83" s="405"/>
      <c r="AZ83" s="405"/>
      <c r="BA83" s="405"/>
    </row>
    <row r="84" spans="3:53" ht="16.5" customHeight="1">
      <c r="C84" s="197" t="str">
        <f>C52</f>
        <v>Vijzel (Spaans Babcock)</v>
      </c>
      <c r="D84" s="197" t="str">
        <f t="shared" si="8"/>
        <v>Vijzel</v>
      </c>
      <c r="E84" s="206"/>
      <c r="F84" s="287">
        <f>IF(COUNT(P84:X84)=9,SUM(P84:X84),"")</f>
        <v>100</v>
      </c>
      <c r="G84" s="226"/>
      <c r="H84" s="226">
        <f>IF(COUNT(P84:X84)=9,(SUM(E84,P84:X84)/100),"")</f>
        <v>1</v>
      </c>
      <c r="I84" s="308"/>
      <c r="J84" s="219">
        <f>SUM(AN84:AS84)</f>
        <v>2</v>
      </c>
      <c r="K84" s="197">
        <f>SUM(AG84:AL84)</f>
        <v>100</v>
      </c>
      <c r="L84" s="197">
        <f>SUM(Z84:AE84)</f>
        <v>100</v>
      </c>
      <c r="M84" s="306"/>
      <c r="N84" s="419" t="str">
        <f t="shared" si="45"/>
        <v>Vijzel (Spaans Babcock)</v>
      </c>
      <c r="O84" s="457">
        <f>IF(ISNUMBER(H84),H84,"")</f>
        <v>1</v>
      </c>
      <c r="P84" s="450">
        <f t="shared" si="16"/>
        <v>0</v>
      </c>
      <c r="Q84" s="450">
        <f t="shared" si="17"/>
        <v>0</v>
      </c>
      <c r="R84" s="450">
        <f t="shared" si="18"/>
        <v>100</v>
      </c>
      <c r="S84" s="450">
        <f t="shared" si="19"/>
        <v>0</v>
      </c>
      <c r="T84" s="450">
        <f t="shared" si="20"/>
        <v>0</v>
      </c>
      <c r="U84" s="450">
        <f t="shared" si="21"/>
        <v>0</v>
      </c>
      <c r="V84" s="450">
        <f t="shared" si="22"/>
        <v>0</v>
      </c>
      <c r="W84" s="450">
        <f t="shared" si="23"/>
        <v>0</v>
      </c>
      <c r="X84" s="450">
        <f t="shared" si="24"/>
        <v>0</v>
      </c>
      <c r="Y84" s="450"/>
      <c r="Z84" s="450">
        <f t="shared" si="25"/>
        <v>0</v>
      </c>
      <c r="AA84" s="450">
        <f t="shared" si="26"/>
        <v>0</v>
      </c>
      <c r="AB84" s="450">
        <f t="shared" si="27"/>
        <v>100</v>
      </c>
      <c r="AC84" s="450">
        <f t="shared" si="28"/>
        <v>0</v>
      </c>
      <c r="AD84" s="450">
        <f t="shared" si="29"/>
        <v>0</v>
      </c>
      <c r="AE84" s="450">
        <f t="shared" si="30"/>
        <v>0</v>
      </c>
      <c r="AF84" s="450"/>
      <c r="AG84" s="450">
        <f t="shared" si="31"/>
        <v>0</v>
      </c>
      <c r="AH84" s="450">
        <f t="shared" si="32"/>
        <v>0</v>
      </c>
      <c r="AI84" s="450">
        <f t="shared" si="33"/>
        <v>100</v>
      </c>
      <c r="AJ84" s="450">
        <f t="shared" si="34"/>
        <v>0</v>
      </c>
      <c r="AK84" s="416">
        <f t="shared" si="35"/>
        <v>0</v>
      </c>
      <c r="AL84" s="416">
        <f t="shared" si="36"/>
        <v>0</v>
      </c>
      <c r="AM84" s="416"/>
      <c r="AN84" s="416">
        <f t="shared" si="37"/>
        <v>0</v>
      </c>
      <c r="AO84" s="416">
        <f t="shared" si="38"/>
        <v>0</v>
      </c>
      <c r="AP84" s="416">
        <f t="shared" si="39"/>
        <v>2</v>
      </c>
      <c r="AQ84" s="416">
        <f t="shared" si="40"/>
        <v>0</v>
      </c>
      <c r="AR84" s="416">
        <f t="shared" si="41"/>
        <v>0</v>
      </c>
      <c r="AS84" s="416">
        <f t="shared" si="42"/>
        <v>0</v>
      </c>
      <c r="AT84" s="416"/>
      <c r="AU84" s="416"/>
      <c r="AV84" s="405"/>
      <c r="AW84" s="405"/>
      <c r="AX84" s="405"/>
      <c r="AY84" s="405"/>
      <c r="AZ84" s="405"/>
      <c r="BA84" s="405"/>
    </row>
    <row r="85" spans="3:53" ht="16.5" customHeight="1">
      <c r="C85" s="197" t="str">
        <f>C53</f>
        <v>Vijzel (Landustrie)</v>
      </c>
      <c r="D85" s="197" t="str">
        <f t="shared" si="8"/>
        <v>Vijzel</v>
      </c>
      <c r="E85" s="206"/>
      <c r="F85" s="287">
        <f>IF(COUNT(P85:X85)=9,SUM(P85:X85),"")</f>
        <v>98.5</v>
      </c>
      <c r="G85" s="226"/>
      <c r="H85" s="226">
        <f>IF(COUNT(P85:X85)=9,(SUM(E85,P85:X85)/100),"")</f>
        <v>0.98499999999999999</v>
      </c>
      <c r="I85" s="308"/>
      <c r="J85" s="219">
        <f>SUM(AN85:AS85)</f>
        <v>2</v>
      </c>
      <c r="K85" s="197">
        <f>SUM(AG85:AL85)</f>
        <v>100</v>
      </c>
      <c r="L85" s="197">
        <f>SUM(Z85:AE85)</f>
        <v>100</v>
      </c>
      <c r="M85" s="306"/>
      <c r="N85" s="419" t="str">
        <f t="shared" si="45"/>
        <v>Vijzel (Landustrie)</v>
      </c>
      <c r="O85" s="457">
        <f>IF(ISNUMBER(H85),H85,"")</f>
        <v>0.98499999999999999</v>
      </c>
      <c r="P85" s="450">
        <f t="shared" si="16"/>
        <v>0</v>
      </c>
      <c r="Q85" s="450">
        <f t="shared" si="17"/>
        <v>0</v>
      </c>
      <c r="R85" s="450">
        <f t="shared" si="18"/>
        <v>98.5</v>
      </c>
      <c r="S85" s="450">
        <f t="shared" si="19"/>
        <v>0</v>
      </c>
      <c r="T85" s="450">
        <f t="shared" si="20"/>
        <v>0</v>
      </c>
      <c r="U85" s="450">
        <f t="shared" si="21"/>
        <v>0</v>
      </c>
      <c r="V85" s="450">
        <f t="shared" si="22"/>
        <v>0</v>
      </c>
      <c r="W85" s="450">
        <f t="shared" si="23"/>
        <v>0</v>
      </c>
      <c r="X85" s="450">
        <f t="shared" si="24"/>
        <v>0</v>
      </c>
      <c r="Y85" s="450"/>
      <c r="Z85" s="450">
        <f t="shared" si="25"/>
        <v>0</v>
      </c>
      <c r="AA85" s="450">
        <f t="shared" si="26"/>
        <v>0</v>
      </c>
      <c r="AB85" s="450">
        <f t="shared" si="27"/>
        <v>100</v>
      </c>
      <c r="AC85" s="450">
        <f t="shared" si="28"/>
        <v>0</v>
      </c>
      <c r="AD85" s="450">
        <f t="shared" si="29"/>
        <v>0</v>
      </c>
      <c r="AE85" s="450">
        <f t="shared" si="30"/>
        <v>0</v>
      </c>
      <c r="AF85" s="450"/>
      <c r="AG85" s="450">
        <f t="shared" si="31"/>
        <v>0</v>
      </c>
      <c r="AH85" s="450">
        <f t="shared" si="32"/>
        <v>0</v>
      </c>
      <c r="AI85" s="450">
        <f t="shared" si="33"/>
        <v>100</v>
      </c>
      <c r="AJ85" s="450">
        <f t="shared" si="34"/>
        <v>0</v>
      </c>
      <c r="AK85" s="416">
        <f t="shared" si="35"/>
        <v>0</v>
      </c>
      <c r="AL85" s="416">
        <f t="shared" si="36"/>
        <v>0</v>
      </c>
      <c r="AM85" s="416"/>
      <c r="AN85" s="416">
        <f t="shared" si="37"/>
        <v>0</v>
      </c>
      <c r="AO85" s="416">
        <f t="shared" si="38"/>
        <v>0</v>
      </c>
      <c r="AP85" s="416">
        <f t="shared" si="39"/>
        <v>2</v>
      </c>
      <c r="AQ85" s="416">
        <f t="shared" si="40"/>
        <v>0</v>
      </c>
      <c r="AR85" s="416">
        <f t="shared" si="41"/>
        <v>0</v>
      </c>
      <c r="AS85" s="416">
        <f t="shared" si="42"/>
        <v>0</v>
      </c>
      <c r="AT85" s="416"/>
      <c r="AU85" s="416"/>
      <c r="AV85" s="405"/>
      <c r="AW85" s="405"/>
      <c r="AX85" s="405"/>
      <c r="AY85" s="405"/>
      <c r="AZ85" s="405"/>
      <c r="BA85" s="405"/>
    </row>
    <row r="86" spans="3:53" ht="16.5" customHeight="1">
      <c r="C86" s="197" t="str">
        <f>C54</f>
        <v>Turbinevijzels</v>
      </c>
      <c r="D86" s="197" t="str">
        <f>D54</f>
        <v>Turbinevijzel</v>
      </c>
      <c r="E86" s="206">
        <v>3.9999999999999998E-6</v>
      </c>
      <c r="F86" s="287">
        <f>IF(COUNT(P86:X86)=9,SUM(P86:X86),"")</f>
        <v>100</v>
      </c>
      <c r="G86" s="226"/>
      <c r="H86" s="226">
        <f>IF(COUNT(P86:X86)=9,(SUM(E86,P86:X86)/100),"")</f>
        <v>1.00000004</v>
      </c>
      <c r="I86" s="308"/>
      <c r="J86" s="219">
        <f>SUM(AN86:AS86)</f>
        <v>2</v>
      </c>
      <c r="K86" s="197">
        <f>SUM(AG86:AL86)</f>
        <v>100</v>
      </c>
      <c r="L86" s="197">
        <f>SUM(Z86:AE86)</f>
        <v>100</v>
      </c>
      <c r="M86" s="306"/>
      <c r="N86" s="419" t="str">
        <f t="shared" si="45"/>
        <v>Turbinevijzels</v>
      </c>
      <c r="O86" s="457">
        <f>IF(ISNUMBER(H86),H86,"")</f>
        <v>1.00000004</v>
      </c>
      <c r="P86" s="450">
        <f t="shared" si="16"/>
        <v>0</v>
      </c>
      <c r="Q86" s="450">
        <f t="shared" si="17"/>
        <v>0</v>
      </c>
      <c r="R86" s="450">
        <f t="shared" si="18"/>
        <v>100</v>
      </c>
      <c r="S86" s="450">
        <f t="shared" si="19"/>
        <v>0</v>
      </c>
      <c r="T86" s="450">
        <f t="shared" si="20"/>
        <v>0</v>
      </c>
      <c r="U86" s="450">
        <f t="shared" si="21"/>
        <v>0</v>
      </c>
      <c r="V86" s="450">
        <f t="shared" si="22"/>
        <v>0</v>
      </c>
      <c r="W86" s="450">
        <f t="shared" si="23"/>
        <v>0</v>
      </c>
      <c r="X86" s="450">
        <f t="shared" si="24"/>
        <v>0</v>
      </c>
      <c r="Y86" s="450"/>
      <c r="Z86" s="450">
        <f t="shared" si="25"/>
        <v>0</v>
      </c>
      <c r="AA86" s="450">
        <f t="shared" si="26"/>
        <v>0</v>
      </c>
      <c r="AB86" s="450">
        <f t="shared" si="27"/>
        <v>100</v>
      </c>
      <c r="AC86" s="450">
        <f t="shared" si="28"/>
        <v>0</v>
      </c>
      <c r="AD86" s="450">
        <f t="shared" si="29"/>
        <v>0</v>
      </c>
      <c r="AE86" s="450">
        <f t="shared" si="30"/>
        <v>0</v>
      </c>
      <c r="AF86" s="450"/>
      <c r="AG86" s="450">
        <f t="shared" si="31"/>
        <v>0</v>
      </c>
      <c r="AH86" s="450">
        <f t="shared" si="32"/>
        <v>0</v>
      </c>
      <c r="AI86" s="450">
        <f t="shared" si="33"/>
        <v>100</v>
      </c>
      <c r="AJ86" s="450">
        <f t="shared" si="34"/>
        <v>0</v>
      </c>
      <c r="AK86" s="416">
        <f t="shared" si="35"/>
        <v>0</v>
      </c>
      <c r="AL86" s="416">
        <f t="shared" si="36"/>
        <v>0</v>
      </c>
      <c r="AM86" s="416"/>
      <c r="AN86" s="416">
        <f t="shared" si="37"/>
        <v>0</v>
      </c>
      <c r="AO86" s="416">
        <f t="shared" si="38"/>
        <v>0</v>
      </c>
      <c r="AP86" s="416">
        <f t="shared" si="39"/>
        <v>2</v>
      </c>
      <c r="AQ86" s="416">
        <f t="shared" si="40"/>
        <v>0</v>
      </c>
      <c r="AR86" s="416">
        <f t="shared" si="41"/>
        <v>0</v>
      </c>
      <c r="AS86" s="416">
        <f t="shared" si="42"/>
        <v>0</v>
      </c>
      <c r="AT86" s="416"/>
      <c r="AU86" s="416"/>
      <c r="AV86" s="405"/>
      <c r="AW86" s="405"/>
      <c r="AX86" s="405"/>
      <c r="AY86" s="405"/>
      <c r="AZ86" s="405"/>
      <c r="BA86" s="405"/>
    </row>
    <row r="87" spans="3:53" ht="16.5" customHeight="1">
      <c r="C87" s="197" t="str">
        <f>C55</f>
        <v>Centrifugaalpomp</v>
      </c>
      <c r="D87" s="197" t="str">
        <f>D55</f>
        <v>Radiaal</v>
      </c>
      <c r="E87" s="206">
        <v>5.0000000000000004E-6</v>
      </c>
      <c r="F87" s="287">
        <f t="shared" si="13"/>
        <v>95.272727272727266</v>
      </c>
      <c r="G87" s="226"/>
      <c r="H87" s="226">
        <f t="shared" si="43"/>
        <v>0.95272732272727267</v>
      </c>
      <c r="I87" s="308"/>
      <c r="J87" s="219">
        <f t="shared" si="44"/>
        <v>11</v>
      </c>
      <c r="K87" s="197">
        <f t="shared" si="14"/>
        <v>79</v>
      </c>
      <c r="L87" s="197">
        <f t="shared" si="15"/>
        <v>100</v>
      </c>
      <c r="M87" s="306"/>
      <c r="N87" s="419" t="str">
        <f t="shared" si="45"/>
        <v>Centrifugaalpomp</v>
      </c>
      <c r="O87" s="457">
        <f t="shared" si="46"/>
        <v>0.95272732272727267</v>
      </c>
      <c r="P87" s="450">
        <f>IF($G$8=1,F55,0)</f>
        <v>0</v>
      </c>
      <c r="Q87" s="450">
        <f>IF($G$8=2,G55,0)</f>
        <v>0</v>
      </c>
      <c r="R87" s="450">
        <f>IF($G$8=3,H55,0)</f>
        <v>95.272727272727266</v>
      </c>
      <c r="S87" s="450">
        <f>IF($G$8=4,I55,0)</f>
        <v>0</v>
      </c>
      <c r="T87" s="450">
        <f>IF($G$8=5,J55,0)</f>
        <v>0</v>
      </c>
      <c r="U87" s="450">
        <f>IF($G$8=6,K55,0)</f>
        <v>0</v>
      </c>
      <c r="V87" s="450">
        <f>IF($G$8=7,L55,0)</f>
        <v>0</v>
      </c>
      <c r="W87" s="450">
        <f>IF($G$8=8,M55,0)</f>
        <v>0</v>
      </c>
      <c r="X87" s="450">
        <f>IF($G$8=9,N55,0)</f>
        <v>0</v>
      </c>
      <c r="Y87" s="450"/>
      <c r="Z87" s="450">
        <f>IF($G$8=1,V55,0)</f>
        <v>0</v>
      </c>
      <c r="AA87" s="450">
        <f>IF($G$8=2,W55,0)</f>
        <v>0</v>
      </c>
      <c r="AB87" s="450">
        <f>IF($G$8=3,X55,0)</f>
        <v>100</v>
      </c>
      <c r="AC87" s="450">
        <f>IF($G$8=4,Y55,0)</f>
        <v>0</v>
      </c>
      <c r="AD87" s="450">
        <f>IF($G$8=5,Z55,0)</f>
        <v>0</v>
      </c>
      <c r="AE87" s="450">
        <f>IF($G$8=6,AA55,0)</f>
        <v>0</v>
      </c>
      <c r="AF87" s="450"/>
      <c r="AG87" s="450">
        <f>IF($G$8=1,AC55,0)</f>
        <v>0</v>
      </c>
      <c r="AH87" s="450">
        <f>IF($G$8=2,AD55,0)</f>
        <v>0</v>
      </c>
      <c r="AI87" s="450">
        <f>IF($G$8=3,AE55,0)</f>
        <v>79</v>
      </c>
      <c r="AJ87" s="450">
        <f>IF($G$8=4,AF55,0)</f>
        <v>0</v>
      </c>
      <c r="AK87" s="416">
        <f>IF($G$8=5,AG55,0)</f>
        <v>0</v>
      </c>
      <c r="AL87" s="416">
        <f>IF($G$8=6,AH55,0)</f>
        <v>0</v>
      </c>
      <c r="AM87" s="416"/>
      <c r="AN87" s="416">
        <f>IF($G$8=1,T23,0)</f>
        <v>0</v>
      </c>
      <c r="AO87" s="416">
        <f>IF($G$8=2,U23,0)</f>
        <v>0</v>
      </c>
      <c r="AP87" s="416">
        <f>IF($G$8=3,V23,0)</f>
        <v>11</v>
      </c>
      <c r="AQ87" s="416">
        <f>IF($G$8=4,W23,0)</f>
        <v>0</v>
      </c>
      <c r="AR87" s="416">
        <f>IF($G$8=5,X23,0)</f>
        <v>0</v>
      </c>
      <c r="AS87" s="416">
        <f>IF($G$8=6,Y23,0)</f>
        <v>0</v>
      </c>
      <c r="AT87" s="416"/>
      <c r="AU87" s="416"/>
      <c r="AV87" s="405"/>
      <c r="AW87" s="405"/>
      <c r="AX87" s="405"/>
      <c r="AY87" s="405"/>
      <c r="AZ87" s="405"/>
      <c r="BA87" s="405"/>
    </row>
    <row r="88" spans="3:53" ht="16.5" customHeight="1">
      <c r="C88" s="197" t="str">
        <f>C56</f>
        <v>Amarex KRT</v>
      </c>
      <c r="D88" s="197" t="str">
        <f>D56</f>
        <v>Half-axiaal</v>
      </c>
      <c r="E88" s="206">
        <v>6.0000000000000002E-6</v>
      </c>
      <c r="F88" s="287">
        <f t="shared" si="13"/>
        <v>100</v>
      </c>
      <c r="G88" s="226"/>
      <c r="H88" s="226">
        <f t="shared" si="43"/>
        <v>1.0000000600000001</v>
      </c>
      <c r="I88" s="308"/>
      <c r="J88" s="219">
        <f t="shared" si="44"/>
        <v>1</v>
      </c>
      <c r="K88" s="197">
        <f t="shared" si="14"/>
        <v>100</v>
      </c>
      <c r="L88" s="197">
        <f t="shared" si="15"/>
        <v>100</v>
      </c>
      <c r="M88" s="306"/>
      <c r="N88" s="419" t="str">
        <f t="shared" si="45"/>
        <v>Amarex KRT</v>
      </c>
      <c r="O88" s="457">
        <f t="shared" si="46"/>
        <v>1.0000000600000001</v>
      </c>
      <c r="P88" s="450">
        <f>IF($G$8=1,F56,0)</f>
        <v>0</v>
      </c>
      <c r="Q88" s="450">
        <f>IF($G$8=2,G56,0)</f>
        <v>0</v>
      </c>
      <c r="R88" s="450">
        <f>IF($G$8=3,H56,0)</f>
        <v>100</v>
      </c>
      <c r="S88" s="450">
        <f>IF($G$8=4,I56,0)</f>
        <v>0</v>
      </c>
      <c r="T88" s="450">
        <f>IF($G$8=5,J56,0)</f>
        <v>0</v>
      </c>
      <c r="U88" s="450">
        <f>IF($G$8=6,K56,0)</f>
        <v>0</v>
      </c>
      <c r="V88" s="450">
        <f>IF($G$8=7,L56,0)</f>
        <v>0</v>
      </c>
      <c r="W88" s="450">
        <f>IF($G$8=8,M56,0)</f>
        <v>0</v>
      </c>
      <c r="X88" s="450">
        <f>IF($G$8=9,N56,0)</f>
        <v>0</v>
      </c>
      <c r="Y88" s="450"/>
      <c r="Z88" s="450">
        <f>IF($G$8=1,V56,0)</f>
        <v>0</v>
      </c>
      <c r="AA88" s="450">
        <f>IF($G$8=2,W56,0)</f>
        <v>0</v>
      </c>
      <c r="AB88" s="450">
        <f>IF($G$8=3,X56,0)</f>
        <v>100</v>
      </c>
      <c r="AC88" s="450">
        <f>IF($G$8=4,Y56,0)</f>
        <v>0</v>
      </c>
      <c r="AD88" s="450">
        <f>IF($G$8=5,Z56,0)</f>
        <v>0</v>
      </c>
      <c r="AE88" s="450">
        <f>IF($G$8=6,AA56,0)</f>
        <v>0</v>
      </c>
      <c r="AF88" s="450"/>
      <c r="AG88" s="450">
        <f>IF($G$8=1,AC56,0)</f>
        <v>0</v>
      </c>
      <c r="AH88" s="450">
        <f>IF($G$8=2,AD56,0)</f>
        <v>0</v>
      </c>
      <c r="AI88" s="450">
        <f>IF($G$8=3,AE56,0)</f>
        <v>100</v>
      </c>
      <c r="AJ88" s="450">
        <f>IF($G$8=4,AF56,0)</f>
        <v>0</v>
      </c>
      <c r="AK88" s="416">
        <f>IF($G$8=5,AG56,0)</f>
        <v>0</v>
      </c>
      <c r="AL88" s="416">
        <f>IF($G$8=6,AH56,0)</f>
        <v>0</v>
      </c>
      <c r="AM88" s="416"/>
      <c r="AN88" s="416">
        <f>IF($G$8=1,T24,0)</f>
        <v>0</v>
      </c>
      <c r="AO88" s="416">
        <f>IF($G$8=2,U24,0)</f>
        <v>0</v>
      </c>
      <c r="AP88" s="416">
        <f>IF($G$8=3,V24,0)</f>
        <v>1</v>
      </c>
      <c r="AQ88" s="416">
        <f>IF($G$8=4,W24,0)</f>
        <v>0</v>
      </c>
      <c r="AR88" s="416">
        <f>IF($G$8=5,X24,0)</f>
        <v>0</v>
      </c>
      <c r="AS88" s="416">
        <f>IF($G$8=6,Y24,0)</f>
        <v>0</v>
      </c>
      <c r="AT88" s="416"/>
      <c r="AU88" s="416"/>
      <c r="AV88" s="405"/>
      <c r="AW88" s="405"/>
      <c r="AX88" s="405"/>
      <c r="AY88" s="405"/>
      <c r="AZ88" s="405"/>
      <c r="BA88" s="405"/>
    </row>
    <row r="89" spans="3:53" ht="16.5" customHeight="1">
      <c r="C89" s="197" t="str">
        <f>C57</f>
        <v>BEVERON</v>
      </c>
      <c r="D89" s="197" t="str">
        <f>D57</f>
        <v>Half-axiaal</v>
      </c>
      <c r="E89" s="206">
        <v>6.9999999999999999E-6</v>
      </c>
      <c r="F89" s="287">
        <f t="shared" si="13"/>
        <v>85.5</v>
      </c>
      <c r="G89" s="226"/>
      <c r="H89" s="226">
        <f t="shared" si="43"/>
        <v>0.85500007</v>
      </c>
      <c r="I89" s="308"/>
      <c r="J89" s="219">
        <f t="shared" si="44"/>
        <v>2</v>
      </c>
      <c r="K89" s="197">
        <f t="shared" si="14"/>
        <v>71</v>
      </c>
      <c r="L89" s="197">
        <f t="shared" si="15"/>
        <v>100</v>
      </c>
      <c r="M89" s="306"/>
      <c r="N89" s="419" t="str">
        <f t="shared" si="45"/>
        <v>BEVERON</v>
      </c>
      <c r="O89" s="457">
        <f t="shared" si="46"/>
        <v>0.85500007</v>
      </c>
      <c r="P89" s="450">
        <f>IF($G$8=1,F57,0)</f>
        <v>0</v>
      </c>
      <c r="Q89" s="450">
        <f>IF($G$8=2,G57,0)</f>
        <v>0</v>
      </c>
      <c r="R89" s="450">
        <f>IF($G$8=3,H57,0)</f>
        <v>85.5</v>
      </c>
      <c r="S89" s="450">
        <f>IF($G$8=4,I57,0)</f>
        <v>0</v>
      </c>
      <c r="T89" s="450">
        <f>IF($G$8=5,J57,0)</f>
        <v>0</v>
      </c>
      <c r="U89" s="450">
        <f>IF($G$8=6,K57,0)</f>
        <v>0</v>
      </c>
      <c r="V89" s="450">
        <f>IF($G$8=7,L57,0)</f>
        <v>0</v>
      </c>
      <c r="W89" s="450">
        <f>IF($G$8=8,M57,0)</f>
        <v>0</v>
      </c>
      <c r="X89" s="450">
        <f>IF($G$8=9,N57,0)</f>
        <v>0</v>
      </c>
      <c r="Y89" s="450"/>
      <c r="Z89" s="450">
        <f>IF($G$8=1,V57,0)</f>
        <v>0</v>
      </c>
      <c r="AA89" s="450">
        <f>IF($G$8=2,W57,0)</f>
        <v>0</v>
      </c>
      <c r="AB89" s="450">
        <f>IF($G$8=3,X57,0)</f>
        <v>100</v>
      </c>
      <c r="AC89" s="450">
        <f>IF($G$8=4,Y57,0)</f>
        <v>0</v>
      </c>
      <c r="AD89" s="450">
        <f>IF($G$8=5,Z57,0)</f>
        <v>0</v>
      </c>
      <c r="AE89" s="450">
        <f>IF($G$8=6,AA57,0)</f>
        <v>0</v>
      </c>
      <c r="AF89" s="450"/>
      <c r="AG89" s="450">
        <f>IF($G$8=1,AC57,0)</f>
        <v>0</v>
      </c>
      <c r="AH89" s="450">
        <f>IF($G$8=2,AD57,0)</f>
        <v>0</v>
      </c>
      <c r="AI89" s="450">
        <f>IF($G$8=3,AE57,0)</f>
        <v>71</v>
      </c>
      <c r="AJ89" s="450">
        <f>IF($G$8=4,AF57,0)</f>
        <v>0</v>
      </c>
      <c r="AK89" s="416">
        <f>IF($G$8=5,AG57,0)</f>
        <v>0</v>
      </c>
      <c r="AL89" s="416">
        <f>IF($G$8=6,AH57,0)</f>
        <v>0</v>
      </c>
      <c r="AM89" s="416"/>
      <c r="AN89" s="416">
        <f>IF($G$8=1,T25,0)</f>
        <v>0</v>
      </c>
      <c r="AO89" s="416">
        <f>IF($G$8=2,U25,0)</f>
        <v>0</v>
      </c>
      <c r="AP89" s="416">
        <f>IF($G$8=3,V25,0)</f>
        <v>2</v>
      </c>
      <c r="AQ89" s="416">
        <f>IF($G$8=4,W25,0)</f>
        <v>0</v>
      </c>
      <c r="AR89" s="416">
        <f>IF($G$8=5,X25,0)</f>
        <v>0</v>
      </c>
      <c r="AS89" s="416">
        <f>IF($G$8=6,Y25,0)</f>
        <v>0</v>
      </c>
      <c r="AT89" s="416"/>
      <c r="AU89" s="416"/>
      <c r="AV89" s="405"/>
      <c r="AW89" s="405"/>
      <c r="AX89" s="405"/>
      <c r="AY89" s="405"/>
      <c r="AZ89" s="405"/>
      <c r="BA89" s="405"/>
    </row>
    <row r="90" spans="3:53" ht="16.5" customHeight="1">
      <c r="C90" s="197" t="str">
        <f>C58</f>
        <v>Hidrostal</v>
      </c>
      <c r="D90" s="197" t="str">
        <f>D58</f>
        <v>Half-axiaal</v>
      </c>
      <c r="E90" s="206">
        <v>7.9999999999999996E-6</v>
      </c>
      <c r="F90" s="287">
        <f t="shared" si="13"/>
        <v>95.416666666666671</v>
      </c>
      <c r="G90" s="226"/>
      <c r="H90" s="226">
        <f t="shared" si="43"/>
        <v>0.95416674666666668</v>
      </c>
      <c r="I90" s="308"/>
      <c r="J90" s="219">
        <f t="shared" si="44"/>
        <v>6</v>
      </c>
      <c r="K90" s="197">
        <f t="shared" si="14"/>
        <v>92</v>
      </c>
      <c r="L90" s="197">
        <f t="shared" si="15"/>
        <v>99</v>
      </c>
      <c r="M90" s="306"/>
      <c r="N90" s="419" t="str">
        <f t="shared" si="45"/>
        <v>Hidrostal</v>
      </c>
      <c r="O90" s="457">
        <f t="shared" si="46"/>
        <v>0.95416674666666668</v>
      </c>
      <c r="P90" s="450">
        <f>IF($G$8=1,F58,0)</f>
        <v>0</v>
      </c>
      <c r="Q90" s="450">
        <f>IF($G$8=2,G58,0)</f>
        <v>0</v>
      </c>
      <c r="R90" s="450">
        <f>IF($G$8=3,H58,0)</f>
        <v>95.416666666666671</v>
      </c>
      <c r="S90" s="450">
        <f>IF($G$8=4,I58,0)</f>
        <v>0</v>
      </c>
      <c r="T90" s="450">
        <f>IF($G$8=5,J58,0)</f>
        <v>0</v>
      </c>
      <c r="U90" s="450">
        <f>IF($G$8=6,K58,0)</f>
        <v>0</v>
      </c>
      <c r="V90" s="450">
        <f>IF($G$8=7,L58,0)</f>
        <v>0</v>
      </c>
      <c r="W90" s="450">
        <f>IF($G$8=8,M58,0)</f>
        <v>0</v>
      </c>
      <c r="X90" s="450">
        <f>IF($G$8=9,N58,0)</f>
        <v>0</v>
      </c>
      <c r="Y90" s="450"/>
      <c r="Z90" s="450">
        <f>IF($G$8=1,V58,0)</f>
        <v>0</v>
      </c>
      <c r="AA90" s="450">
        <f>IF($G$8=2,W58,0)</f>
        <v>0</v>
      </c>
      <c r="AB90" s="450">
        <f>IF($G$8=3,X58,0)</f>
        <v>99</v>
      </c>
      <c r="AC90" s="450">
        <f>IF($G$8=4,Y58,0)</f>
        <v>0</v>
      </c>
      <c r="AD90" s="450">
        <f>IF($G$8=5,Z58,0)</f>
        <v>0</v>
      </c>
      <c r="AE90" s="450">
        <f>IF($G$8=6,AA58,0)</f>
        <v>0</v>
      </c>
      <c r="AF90" s="450"/>
      <c r="AG90" s="450">
        <f>IF($G$8=1,AC58,0)</f>
        <v>0</v>
      </c>
      <c r="AH90" s="450">
        <f>IF($G$8=2,AD58,0)</f>
        <v>0</v>
      </c>
      <c r="AI90" s="450">
        <f>IF($G$8=3,AE58,0)</f>
        <v>92</v>
      </c>
      <c r="AJ90" s="450">
        <f>IF($G$8=4,AF58,0)</f>
        <v>0</v>
      </c>
      <c r="AK90" s="416">
        <f>IF($G$8=5,AG58,0)</f>
        <v>0</v>
      </c>
      <c r="AL90" s="416">
        <f>IF($G$8=6,AH58,0)</f>
        <v>0</v>
      </c>
      <c r="AM90" s="416"/>
      <c r="AN90" s="416">
        <f>IF($G$8=1,T26,0)</f>
        <v>0</v>
      </c>
      <c r="AO90" s="416">
        <f>IF($G$8=2,U26,0)</f>
        <v>0</v>
      </c>
      <c r="AP90" s="416">
        <f>IF($G$8=3,V26,0)</f>
        <v>6</v>
      </c>
      <c r="AQ90" s="416">
        <f>IF($G$8=4,W26,0)</f>
        <v>0</v>
      </c>
      <c r="AR90" s="416">
        <f>IF($G$8=5,X26,0)</f>
        <v>0</v>
      </c>
      <c r="AS90" s="416">
        <f>IF($G$8=6,Y26,0)</f>
        <v>0</v>
      </c>
      <c r="AT90" s="416"/>
      <c r="AU90" s="416"/>
      <c r="AV90" s="405"/>
      <c r="AW90" s="405"/>
      <c r="AX90" s="405"/>
      <c r="AY90" s="405"/>
      <c r="AZ90" s="405"/>
      <c r="BA90" s="405"/>
    </row>
    <row r="91" spans="3:53" ht="16.5" customHeight="1">
      <c r="C91" s="197" t="str">
        <f>C59</f>
        <v>half-axiaal pomp</v>
      </c>
      <c r="D91" s="197" t="str">
        <f>D59</f>
        <v>Half-axiaal</v>
      </c>
      <c r="E91" s="206">
        <v>9.0000000000000002E-6</v>
      </c>
      <c r="F91" s="287">
        <f t="shared" si="13"/>
        <v>92.833333333333329</v>
      </c>
      <c r="G91" s="226"/>
      <c r="H91" s="226">
        <f t="shared" si="43"/>
        <v>0.92833342333333335</v>
      </c>
      <c r="I91" s="308"/>
      <c r="J91" s="219">
        <f t="shared" si="44"/>
        <v>12</v>
      </c>
      <c r="K91" s="197">
        <f t="shared" si="14"/>
        <v>77</v>
      </c>
      <c r="L91" s="197">
        <f t="shared" si="15"/>
        <v>100</v>
      </c>
      <c r="M91" s="306"/>
      <c r="N91" s="419" t="str">
        <f t="shared" si="45"/>
        <v>half-axiaal pomp</v>
      </c>
      <c r="O91" s="457">
        <f t="shared" si="46"/>
        <v>0.92833342333333335</v>
      </c>
      <c r="P91" s="450">
        <f>IF($G$8=1,F59,0)</f>
        <v>0</v>
      </c>
      <c r="Q91" s="450">
        <f>IF($G$8=2,G59,0)</f>
        <v>0</v>
      </c>
      <c r="R91" s="450">
        <f>IF($G$8=3,H59,0)</f>
        <v>92.833333333333329</v>
      </c>
      <c r="S91" s="450">
        <f>IF($G$8=4,I59,0)</f>
        <v>0</v>
      </c>
      <c r="T91" s="450">
        <f>IF($G$8=5,J59,0)</f>
        <v>0</v>
      </c>
      <c r="U91" s="450">
        <f>IF($G$8=6,K59,0)</f>
        <v>0</v>
      </c>
      <c r="V91" s="450">
        <f>IF($G$8=7,L59,0)</f>
        <v>0</v>
      </c>
      <c r="W91" s="450">
        <f>IF($G$8=8,M59,0)</f>
        <v>0</v>
      </c>
      <c r="X91" s="450">
        <f>IF($G$8=9,N59,0)</f>
        <v>0</v>
      </c>
      <c r="Y91" s="450"/>
      <c r="Z91" s="450">
        <f>IF($G$8=1,V59,0)</f>
        <v>0</v>
      </c>
      <c r="AA91" s="450">
        <f>IF($G$8=2,W59,0)</f>
        <v>0</v>
      </c>
      <c r="AB91" s="450">
        <f>IF($G$8=3,X59,0)</f>
        <v>100</v>
      </c>
      <c r="AC91" s="450">
        <f>IF($G$8=4,Y59,0)</f>
        <v>0</v>
      </c>
      <c r="AD91" s="450">
        <f>IF($G$8=5,Z59,0)</f>
        <v>0</v>
      </c>
      <c r="AE91" s="450">
        <f>IF($G$8=6,AA59,0)</f>
        <v>0</v>
      </c>
      <c r="AF91" s="450"/>
      <c r="AG91" s="450">
        <f>IF($G$8=1,AC59,0)</f>
        <v>0</v>
      </c>
      <c r="AH91" s="450">
        <f>IF($G$8=2,AD59,0)</f>
        <v>0</v>
      </c>
      <c r="AI91" s="450">
        <f>IF($G$8=3,AE59,0)</f>
        <v>77</v>
      </c>
      <c r="AJ91" s="450">
        <f>IF($G$8=4,AF59,0)</f>
        <v>0</v>
      </c>
      <c r="AK91" s="416">
        <f>IF($G$8=5,AG59,0)</f>
        <v>0</v>
      </c>
      <c r="AL91" s="416">
        <f>IF($G$8=6,AH59,0)</f>
        <v>0</v>
      </c>
      <c r="AM91" s="416"/>
      <c r="AN91" s="416">
        <f>IF($G$8=1,T27,0)</f>
        <v>0</v>
      </c>
      <c r="AO91" s="416">
        <f>IF($G$8=2,U27,0)</f>
        <v>0</v>
      </c>
      <c r="AP91" s="416">
        <f>IF($G$8=3,V27,0)</f>
        <v>12</v>
      </c>
      <c r="AQ91" s="416">
        <f>IF($G$8=4,W27,0)</f>
        <v>0</v>
      </c>
      <c r="AR91" s="416">
        <f>IF($G$8=5,X27,0)</f>
        <v>0</v>
      </c>
      <c r="AS91" s="416">
        <f>IF($G$8=6,Y27,0)</f>
        <v>0</v>
      </c>
      <c r="AT91" s="416"/>
      <c r="AU91" s="416"/>
      <c r="AV91" s="405"/>
      <c r="AW91" s="405"/>
      <c r="AX91" s="405"/>
      <c r="AY91" s="405"/>
      <c r="AZ91" s="405"/>
      <c r="BA91" s="405"/>
    </row>
    <row r="92" spans="3:53" ht="16.5" customHeight="1">
      <c r="C92" s="197" t="str">
        <f>C60</f>
        <v>Visvriendelijke Hidrostal</v>
      </c>
      <c r="D92" s="197" t="str">
        <f>D60</f>
        <v>Half-axiaal</v>
      </c>
      <c r="E92" s="206">
        <v>1.0000000000000001E-5</v>
      </c>
      <c r="F92" s="287">
        <f t="shared" si="13"/>
        <v>100</v>
      </c>
      <c r="G92" s="226"/>
      <c r="H92" s="226">
        <f t="shared" si="43"/>
        <v>1.0000001000000001</v>
      </c>
      <c r="I92" s="308"/>
      <c r="J92" s="219">
        <f t="shared" si="44"/>
        <v>1</v>
      </c>
      <c r="K92" s="197">
        <f t="shared" si="14"/>
        <v>100</v>
      </c>
      <c r="L92" s="197">
        <f t="shared" si="15"/>
        <v>100</v>
      </c>
      <c r="M92" s="306"/>
      <c r="N92" s="419" t="str">
        <f t="shared" si="45"/>
        <v>Visvriendelijke Hidrostal</v>
      </c>
      <c r="O92" s="457">
        <f t="shared" si="46"/>
        <v>1.0000001000000001</v>
      </c>
      <c r="P92" s="450">
        <f>IF($G$8=1,F60,0)</f>
        <v>0</v>
      </c>
      <c r="Q92" s="450">
        <f>IF($G$8=2,G60,0)</f>
        <v>0</v>
      </c>
      <c r="R92" s="450">
        <f>IF($G$8=3,H60,0)</f>
        <v>100</v>
      </c>
      <c r="S92" s="450">
        <f>IF($G$8=4,I60,0)</f>
        <v>0</v>
      </c>
      <c r="T92" s="450">
        <f>IF($G$8=5,J60,0)</f>
        <v>0</v>
      </c>
      <c r="U92" s="450">
        <f>IF($G$8=6,K60,0)</f>
        <v>0</v>
      </c>
      <c r="V92" s="450">
        <f>IF($G$8=7,L60,0)</f>
        <v>0</v>
      </c>
      <c r="W92" s="450">
        <f>IF($G$8=8,M60,0)</f>
        <v>0</v>
      </c>
      <c r="X92" s="450">
        <f>IF($G$8=9,N60,0)</f>
        <v>0</v>
      </c>
      <c r="Y92" s="450"/>
      <c r="Z92" s="450">
        <f>IF($G$8=1,V60,0)</f>
        <v>0</v>
      </c>
      <c r="AA92" s="450">
        <f>IF($G$8=2,W60,0)</f>
        <v>0</v>
      </c>
      <c r="AB92" s="450">
        <f>IF($G$8=3,X60,0)</f>
        <v>100</v>
      </c>
      <c r="AC92" s="450">
        <f>IF($G$8=4,Y60,0)</f>
        <v>0</v>
      </c>
      <c r="AD92" s="450">
        <f>IF($G$8=5,Z60,0)</f>
        <v>0</v>
      </c>
      <c r="AE92" s="450">
        <f>IF($G$8=6,AA60,0)</f>
        <v>0</v>
      </c>
      <c r="AF92" s="450"/>
      <c r="AG92" s="450">
        <f>IF($G$8=1,AC60,0)</f>
        <v>0</v>
      </c>
      <c r="AH92" s="450">
        <f>IF($G$8=2,AD60,0)</f>
        <v>0</v>
      </c>
      <c r="AI92" s="450">
        <f>IF($G$8=3,AE60,0)</f>
        <v>100</v>
      </c>
      <c r="AJ92" s="450">
        <f>IF($G$8=4,AF60,0)</f>
        <v>0</v>
      </c>
      <c r="AK92" s="416">
        <f>IF($G$8=5,AG60,0)</f>
        <v>0</v>
      </c>
      <c r="AL92" s="416">
        <f>IF($G$8=6,AH60,0)</f>
        <v>0</v>
      </c>
      <c r="AM92" s="416"/>
      <c r="AN92" s="416">
        <f>IF($G$8=1,T28,0)</f>
        <v>0</v>
      </c>
      <c r="AO92" s="416">
        <f>IF($G$8=2,U28,0)</f>
        <v>0</v>
      </c>
      <c r="AP92" s="416">
        <f>IF($G$8=3,V28,0)</f>
        <v>1</v>
      </c>
      <c r="AQ92" s="416">
        <f>IF($G$8=4,W28,0)</f>
        <v>0</v>
      </c>
      <c r="AR92" s="416">
        <f>IF($G$8=5,X28,0)</f>
        <v>0</v>
      </c>
      <c r="AS92" s="416">
        <f>IF($G$8=6,Y28,0)</f>
        <v>0</v>
      </c>
      <c r="AT92" s="416"/>
      <c r="AU92" s="416"/>
      <c r="AV92" s="405"/>
      <c r="AW92" s="405"/>
      <c r="AX92" s="405"/>
      <c r="AY92" s="405"/>
      <c r="AZ92" s="405"/>
      <c r="BA92" s="405"/>
    </row>
    <row r="93" spans="3:53" ht="16.5" customHeight="1">
      <c r="C93" s="197" t="str">
        <f>C61</f>
        <v>VOPO met stroomomdraaiing</v>
      </c>
      <c r="D93" s="197" t="str">
        <f>D61</f>
        <v>Half-axiaal</v>
      </c>
      <c r="E93" s="206">
        <v>1.1E-5</v>
      </c>
      <c r="F93" s="287">
        <f t="shared" si="13"/>
        <v>94</v>
      </c>
      <c r="G93" s="226"/>
      <c r="H93" s="226">
        <f t="shared" si="43"/>
        <v>0.94000011000000006</v>
      </c>
      <c r="I93" s="308"/>
      <c r="J93" s="219">
        <f t="shared" si="44"/>
        <v>1</v>
      </c>
      <c r="K93" s="197">
        <f t="shared" si="14"/>
        <v>94</v>
      </c>
      <c r="L93" s="197">
        <f t="shared" si="15"/>
        <v>94</v>
      </c>
      <c r="M93" s="306"/>
      <c r="N93" s="419" t="str">
        <f t="shared" si="45"/>
        <v>VOPO met stroomomdraaiing</v>
      </c>
      <c r="O93" s="457">
        <f t="shared" si="46"/>
        <v>0.94000011000000006</v>
      </c>
      <c r="P93" s="450">
        <f>IF($G$8=1,F61,0)</f>
        <v>0</v>
      </c>
      <c r="Q93" s="450">
        <f>IF($G$8=2,G61,0)</f>
        <v>0</v>
      </c>
      <c r="R93" s="450">
        <f>IF($G$8=3,H61,0)</f>
        <v>94</v>
      </c>
      <c r="S93" s="450">
        <f>IF($G$8=4,I61,0)</f>
        <v>0</v>
      </c>
      <c r="T93" s="450">
        <f>IF($G$8=5,J61,0)</f>
        <v>0</v>
      </c>
      <c r="U93" s="450">
        <f>IF($G$8=6,K61,0)</f>
        <v>0</v>
      </c>
      <c r="V93" s="450">
        <f>IF($G$8=7,L61,0)</f>
        <v>0</v>
      </c>
      <c r="W93" s="450">
        <f>IF($G$8=8,M61,0)</f>
        <v>0</v>
      </c>
      <c r="X93" s="450">
        <f>IF($G$8=9,N61,0)</f>
        <v>0</v>
      </c>
      <c r="Y93" s="450"/>
      <c r="Z93" s="450">
        <f>IF($G$8=1,V61,0)</f>
        <v>0</v>
      </c>
      <c r="AA93" s="450">
        <f>IF($G$8=2,W61,0)</f>
        <v>0</v>
      </c>
      <c r="AB93" s="450">
        <f>IF($G$8=3,X61,0)</f>
        <v>94</v>
      </c>
      <c r="AC93" s="450">
        <f>IF($G$8=4,Y61,0)</f>
        <v>0</v>
      </c>
      <c r="AD93" s="450">
        <f>IF($G$8=5,Z61,0)</f>
        <v>0</v>
      </c>
      <c r="AE93" s="450">
        <f>IF($G$8=6,AA61,0)</f>
        <v>0</v>
      </c>
      <c r="AF93" s="450"/>
      <c r="AG93" s="450">
        <f>IF($G$8=1,AC61,0)</f>
        <v>0</v>
      </c>
      <c r="AH93" s="450">
        <f>IF($G$8=2,AD61,0)</f>
        <v>0</v>
      </c>
      <c r="AI93" s="450">
        <f>IF($G$8=3,AE61,0)</f>
        <v>94</v>
      </c>
      <c r="AJ93" s="450">
        <f>IF($G$8=4,AF61,0)</f>
        <v>0</v>
      </c>
      <c r="AK93" s="416">
        <f>IF($G$8=5,AG61,0)</f>
        <v>0</v>
      </c>
      <c r="AL93" s="416">
        <f>IF($G$8=6,AH61,0)</f>
        <v>0</v>
      </c>
      <c r="AM93" s="416"/>
      <c r="AN93" s="416">
        <f>IF($G$8=1,T29,0)</f>
        <v>0</v>
      </c>
      <c r="AO93" s="416">
        <f>IF($G$8=2,U29,0)</f>
        <v>0</v>
      </c>
      <c r="AP93" s="416">
        <f>IF($G$8=3,V29,0)</f>
        <v>1</v>
      </c>
      <c r="AQ93" s="416">
        <f>IF($G$8=4,W29,0)</f>
        <v>0</v>
      </c>
      <c r="AR93" s="416">
        <f>IF($G$8=5,X29,0)</f>
        <v>0</v>
      </c>
      <c r="AS93" s="416">
        <f>IF($G$8=6,Y29,0)</f>
        <v>0</v>
      </c>
      <c r="AT93" s="416"/>
      <c r="AU93" s="416"/>
      <c r="AV93" s="405"/>
      <c r="AW93" s="405"/>
      <c r="AX93" s="405"/>
      <c r="AY93" s="405"/>
      <c r="AZ93" s="405"/>
      <c r="BA93" s="405"/>
    </row>
    <row r="94" spans="3:53" ht="16.5" customHeight="1">
      <c r="C94" s="197" t="str">
        <f>C62</f>
        <v>Nijhuis Bulbpomp</v>
      </c>
      <c r="D94" s="197" t="str">
        <f>D62</f>
        <v>Axiaal</v>
      </c>
      <c r="E94" s="206">
        <v>1.2E-5</v>
      </c>
      <c r="F94" s="287">
        <f t="shared" si="13"/>
        <v>97</v>
      </c>
      <c r="G94" s="226"/>
      <c r="H94" s="226">
        <f t="shared" si="43"/>
        <v>0.97000012000000002</v>
      </c>
      <c r="I94" s="308"/>
      <c r="J94" s="219">
        <f t="shared" si="44"/>
        <v>1</v>
      </c>
      <c r="K94" s="197">
        <f t="shared" si="14"/>
        <v>97</v>
      </c>
      <c r="L94" s="197">
        <f t="shared" si="15"/>
        <v>97</v>
      </c>
      <c r="M94" s="306"/>
      <c r="N94" s="419" t="str">
        <f t="shared" si="45"/>
        <v>Nijhuis Bulbpomp</v>
      </c>
      <c r="O94" s="457">
        <f t="shared" si="46"/>
        <v>0.97000012000000002</v>
      </c>
      <c r="P94" s="450">
        <f>IF($G$8=1,F62,0)</f>
        <v>0</v>
      </c>
      <c r="Q94" s="450">
        <f>IF($G$8=2,G62,0)</f>
        <v>0</v>
      </c>
      <c r="R94" s="450">
        <f>IF($G$8=3,H62,0)</f>
        <v>97</v>
      </c>
      <c r="S94" s="450">
        <f>IF($G$8=4,I62,0)</f>
        <v>0</v>
      </c>
      <c r="T94" s="450">
        <f>IF($G$8=5,J62,0)</f>
        <v>0</v>
      </c>
      <c r="U94" s="450">
        <f>IF($G$8=6,K62,0)</f>
        <v>0</v>
      </c>
      <c r="V94" s="450">
        <f>IF($G$8=7,L62,0)</f>
        <v>0</v>
      </c>
      <c r="W94" s="450">
        <f>IF($G$8=8,M62,0)</f>
        <v>0</v>
      </c>
      <c r="X94" s="450">
        <f>IF($G$8=9,N62,0)</f>
        <v>0</v>
      </c>
      <c r="Y94" s="450"/>
      <c r="Z94" s="450">
        <f>IF($G$8=1,V62,0)</f>
        <v>0</v>
      </c>
      <c r="AA94" s="450">
        <f>IF($G$8=2,W62,0)</f>
        <v>0</v>
      </c>
      <c r="AB94" s="450">
        <f>IF($G$8=3,X62,0)</f>
        <v>97</v>
      </c>
      <c r="AC94" s="450">
        <f>IF($G$8=4,Y62,0)</f>
        <v>0</v>
      </c>
      <c r="AD94" s="450">
        <f>IF($G$8=5,Z62,0)</f>
        <v>0</v>
      </c>
      <c r="AE94" s="450">
        <f>IF($G$8=6,AA62,0)</f>
        <v>0</v>
      </c>
      <c r="AF94" s="450"/>
      <c r="AG94" s="450">
        <f>IF($G$8=1,AC62,0)</f>
        <v>0</v>
      </c>
      <c r="AH94" s="450">
        <f>IF($G$8=2,AD62,0)</f>
        <v>0</v>
      </c>
      <c r="AI94" s="450">
        <f>IF($G$8=3,AE62,0)</f>
        <v>97</v>
      </c>
      <c r="AJ94" s="450">
        <f>IF($G$8=4,AF62,0)</f>
        <v>0</v>
      </c>
      <c r="AK94" s="416">
        <f>IF($G$8=5,AG62,0)</f>
        <v>0</v>
      </c>
      <c r="AL94" s="416">
        <f>IF($G$8=6,AH62,0)</f>
        <v>0</v>
      </c>
      <c r="AM94" s="416"/>
      <c r="AN94" s="416">
        <f>IF($G$8=1,T30,0)</f>
        <v>0</v>
      </c>
      <c r="AO94" s="416">
        <f>IF($G$8=2,U30,0)</f>
        <v>0</v>
      </c>
      <c r="AP94" s="416">
        <f>IF($G$8=3,V30,0)</f>
        <v>1</v>
      </c>
      <c r="AQ94" s="416">
        <f>IF($G$8=4,W30,0)</f>
        <v>0</v>
      </c>
      <c r="AR94" s="416">
        <f>IF($G$8=5,X30,0)</f>
        <v>0</v>
      </c>
      <c r="AS94" s="416">
        <f>IF($G$8=6,Y30,0)</f>
        <v>0</v>
      </c>
      <c r="AT94" s="416"/>
      <c r="AU94" s="416"/>
      <c r="AV94" s="405"/>
      <c r="AW94" s="405"/>
      <c r="AX94" s="405"/>
      <c r="AY94" s="405"/>
      <c r="AZ94" s="405"/>
      <c r="BA94" s="405"/>
    </row>
    <row r="95" spans="3:53" ht="16.5" customHeight="1">
      <c r="C95" s="197" t="str">
        <f>C63</f>
        <v>BVOP</v>
      </c>
      <c r="D95" s="197" t="str">
        <f>D63</f>
        <v>Axiaal</v>
      </c>
      <c r="E95" s="206">
        <v>1.2999999999999999E-5</v>
      </c>
      <c r="F95" s="287">
        <f t="shared" si="13"/>
        <v>70.333333333333329</v>
      </c>
      <c r="G95" s="226"/>
      <c r="H95" s="226">
        <f t="shared" si="43"/>
        <v>0.70333346333333324</v>
      </c>
      <c r="I95" s="308"/>
      <c r="J95" s="219">
        <f t="shared" si="44"/>
        <v>3</v>
      </c>
      <c r="K95" s="197">
        <f t="shared" si="14"/>
        <v>12</v>
      </c>
      <c r="L95" s="197">
        <f t="shared" si="15"/>
        <v>100</v>
      </c>
      <c r="M95" s="306"/>
      <c r="N95" s="419" t="str">
        <f t="shared" si="45"/>
        <v>BVOP</v>
      </c>
      <c r="O95" s="457">
        <f t="shared" si="46"/>
        <v>0.70333346333333324</v>
      </c>
      <c r="P95" s="450">
        <f>IF($G$8=1,F63,0)</f>
        <v>0</v>
      </c>
      <c r="Q95" s="450">
        <f>IF($G$8=2,G63,0)</f>
        <v>0</v>
      </c>
      <c r="R95" s="450">
        <f>IF($G$8=3,H63,0)</f>
        <v>70.333333333333329</v>
      </c>
      <c r="S95" s="450">
        <f>IF($G$8=4,I63,0)</f>
        <v>0</v>
      </c>
      <c r="T95" s="450">
        <f>IF($G$8=5,J63,0)</f>
        <v>0</v>
      </c>
      <c r="U95" s="450">
        <f>IF($G$8=6,K63,0)</f>
        <v>0</v>
      </c>
      <c r="V95" s="450">
        <f>IF($G$8=7,L63,0)</f>
        <v>0</v>
      </c>
      <c r="W95" s="450">
        <f>IF($G$8=8,M63,0)</f>
        <v>0</v>
      </c>
      <c r="X95" s="450">
        <f>IF($G$8=9,N63,0)</f>
        <v>0</v>
      </c>
      <c r="Y95" s="450"/>
      <c r="Z95" s="450">
        <f>IF($G$8=1,V63,0)</f>
        <v>0</v>
      </c>
      <c r="AA95" s="450">
        <f>IF($G$8=2,W63,0)</f>
        <v>0</v>
      </c>
      <c r="AB95" s="450">
        <f>IF($G$8=3,X63,0)</f>
        <v>100</v>
      </c>
      <c r="AC95" s="450">
        <f>IF($G$8=4,Y63,0)</f>
        <v>0</v>
      </c>
      <c r="AD95" s="450">
        <f>IF($G$8=5,Z63,0)</f>
        <v>0</v>
      </c>
      <c r="AE95" s="450">
        <f>IF($G$8=6,AA63,0)</f>
        <v>0</v>
      </c>
      <c r="AF95" s="450"/>
      <c r="AG95" s="450">
        <f>IF($G$8=1,AC63,0)</f>
        <v>0</v>
      </c>
      <c r="AH95" s="450">
        <f>IF($G$8=2,AD63,0)</f>
        <v>0</v>
      </c>
      <c r="AI95" s="450">
        <f>IF($G$8=3,AE63,0)</f>
        <v>12</v>
      </c>
      <c r="AJ95" s="450">
        <f>IF($G$8=4,AF63,0)</f>
        <v>0</v>
      </c>
      <c r="AK95" s="416">
        <f>IF($G$8=5,AG63,0)</f>
        <v>0</v>
      </c>
      <c r="AL95" s="416">
        <f>IF($G$8=6,AH63,0)</f>
        <v>0</v>
      </c>
      <c r="AM95" s="416"/>
      <c r="AN95" s="416">
        <f>IF($G$8=1,T31,0)</f>
        <v>0</v>
      </c>
      <c r="AO95" s="416">
        <f>IF($G$8=2,U31,0)</f>
        <v>0</v>
      </c>
      <c r="AP95" s="416">
        <f>IF($G$8=3,V31,0)</f>
        <v>3</v>
      </c>
      <c r="AQ95" s="416">
        <f>IF($G$8=4,W31,0)</f>
        <v>0</v>
      </c>
      <c r="AR95" s="416">
        <f>IF($G$8=5,X31,0)</f>
        <v>0</v>
      </c>
      <c r="AS95" s="416">
        <f>IF($G$8=6,Y31,0)</f>
        <v>0</v>
      </c>
      <c r="AT95" s="416"/>
      <c r="AU95" s="416"/>
      <c r="AV95" s="405"/>
      <c r="AW95" s="405"/>
      <c r="AX95" s="405"/>
      <c r="AY95" s="405"/>
      <c r="AZ95" s="405"/>
      <c r="BA95" s="405"/>
    </row>
    <row r="96" spans="3:53" ht="16.5" customHeight="1">
      <c r="C96" s="197" t="str">
        <f>C64</f>
        <v>Gesloten schroefpomp (compact)</v>
      </c>
      <c r="D96" s="197" t="str">
        <f>D64</f>
        <v>Axiaal</v>
      </c>
      <c r="E96" s="206">
        <v>1.4E-5</v>
      </c>
      <c r="F96" s="287">
        <f t="shared" si="13"/>
        <v>80.8</v>
      </c>
      <c r="G96" s="226"/>
      <c r="H96" s="226">
        <f t="shared" si="43"/>
        <v>0.80800013999999987</v>
      </c>
      <c r="I96" s="308"/>
      <c r="J96" s="219">
        <f t="shared" si="44"/>
        <v>5</v>
      </c>
      <c r="K96" s="197">
        <f t="shared" si="14"/>
        <v>21</v>
      </c>
      <c r="L96" s="197">
        <f t="shared" si="15"/>
        <v>99</v>
      </c>
      <c r="M96" s="306"/>
      <c r="N96" s="419" t="str">
        <f t="shared" si="45"/>
        <v>Gesloten schroefpomp (compact)</v>
      </c>
      <c r="O96" s="457">
        <f t="shared" si="46"/>
        <v>0.80800013999999987</v>
      </c>
      <c r="P96" s="450">
        <f>IF($G$8=1,F64,0)</f>
        <v>0</v>
      </c>
      <c r="Q96" s="450">
        <f>IF($G$8=2,G64,0)</f>
        <v>0</v>
      </c>
      <c r="R96" s="450">
        <f>IF($G$8=3,H64,0)</f>
        <v>80.8</v>
      </c>
      <c r="S96" s="450">
        <f>IF($G$8=4,I64,0)</f>
        <v>0</v>
      </c>
      <c r="T96" s="450">
        <f>IF($G$8=5,J64,0)</f>
        <v>0</v>
      </c>
      <c r="U96" s="450">
        <f>IF($G$8=6,K64,0)</f>
        <v>0</v>
      </c>
      <c r="V96" s="450">
        <f>IF($G$8=7,L64,0)</f>
        <v>0</v>
      </c>
      <c r="W96" s="450">
        <f>IF($G$8=8,M64,0)</f>
        <v>0</v>
      </c>
      <c r="X96" s="450">
        <f>IF($G$8=9,N64,0)</f>
        <v>0</v>
      </c>
      <c r="Y96" s="450"/>
      <c r="Z96" s="450">
        <f>IF($G$8=1,V64,0)</f>
        <v>0</v>
      </c>
      <c r="AA96" s="450">
        <f>IF($G$8=2,W64,0)</f>
        <v>0</v>
      </c>
      <c r="AB96" s="450">
        <f>IF($G$8=3,X64,0)</f>
        <v>99</v>
      </c>
      <c r="AC96" s="450">
        <f>IF($G$8=4,Y64,0)</f>
        <v>0</v>
      </c>
      <c r="AD96" s="450">
        <f>IF($G$8=5,Z64,0)</f>
        <v>0</v>
      </c>
      <c r="AE96" s="450">
        <f>IF($G$8=6,AA64,0)</f>
        <v>0</v>
      </c>
      <c r="AF96" s="450"/>
      <c r="AG96" s="450">
        <f>IF($G$8=1,AC64,0)</f>
        <v>0</v>
      </c>
      <c r="AH96" s="450">
        <f>IF($G$8=2,AD64,0)</f>
        <v>0</v>
      </c>
      <c r="AI96" s="450">
        <f>IF($G$8=3,AE64,0)</f>
        <v>21</v>
      </c>
      <c r="AJ96" s="450">
        <f>IF($G$8=4,AF64,0)</f>
        <v>0</v>
      </c>
      <c r="AK96" s="416">
        <f>IF($G$8=5,AG64,0)</f>
        <v>0</v>
      </c>
      <c r="AL96" s="416">
        <f>IF($G$8=6,AH64,0)</f>
        <v>0</v>
      </c>
      <c r="AM96" s="416"/>
      <c r="AN96" s="416">
        <f>IF($G$8=1,T32,0)</f>
        <v>0</v>
      </c>
      <c r="AO96" s="416">
        <f>IF($G$8=2,U32,0)</f>
        <v>0</v>
      </c>
      <c r="AP96" s="416">
        <f>IF($G$8=3,V32,0)</f>
        <v>5</v>
      </c>
      <c r="AQ96" s="416">
        <f>IF($G$8=4,W32,0)</f>
        <v>0</v>
      </c>
      <c r="AR96" s="416">
        <f>IF($G$8=5,X32,0)</f>
        <v>0</v>
      </c>
      <c r="AS96" s="416">
        <f>IF($G$8=6,Y32,0)</f>
        <v>0</v>
      </c>
      <c r="AT96" s="416"/>
      <c r="AU96" s="416"/>
      <c r="AV96" s="405"/>
      <c r="AW96" s="405"/>
      <c r="AX96" s="405"/>
      <c r="AY96" s="405"/>
      <c r="AZ96" s="405"/>
      <c r="BA96" s="405"/>
    </row>
    <row r="97" spans="1:56" ht="16.5" customHeight="1">
      <c r="C97" s="197" t="str">
        <f>C65</f>
        <v>Gesloten schroefpomp</v>
      </c>
      <c r="D97" s="197" t="str">
        <f>D65</f>
        <v>Axiaal</v>
      </c>
      <c r="E97" s="206">
        <v>1.5E-5</v>
      </c>
      <c r="F97" s="287">
        <f t="shared" si="13"/>
        <v>86.5</v>
      </c>
      <c r="G97" s="226"/>
      <c r="H97" s="226">
        <f t="shared" si="43"/>
        <v>0.86500015000000008</v>
      </c>
      <c r="I97" s="308"/>
      <c r="J97" s="219">
        <f t="shared" si="44"/>
        <v>4</v>
      </c>
      <c r="K97" s="197">
        <f t="shared" si="14"/>
        <v>73</v>
      </c>
      <c r="L97" s="197">
        <f t="shared" si="15"/>
        <v>95</v>
      </c>
      <c r="M97" s="306"/>
      <c r="N97" s="419" t="str">
        <f t="shared" si="45"/>
        <v>Gesloten schroefpomp</v>
      </c>
      <c r="O97" s="457">
        <f t="shared" si="46"/>
        <v>0.86500015000000008</v>
      </c>
      <c r="P97" s="450">
        <f>IF($G$8=1,F65,0)</f>
        <v>0</v>
      </c>
      <c r="Q97" s="450">
        <f>IF($G$8=2,G65,0)</f>
        <v>0</v>
      </c>
      <c r="R97" s="450">
        <f>IF($G$8=3,H65,0)</f>
        <v>86.5</v>
      </c>
      <c r="S97" s="450">
        <f>IF($G$8=4,I65,0)</f>
        <v>0</v>
      </c>
      <c r="T97" s="450">
        <f>IF($G$8=5,J65,0)</f>
        <v>0</v>
      </c>
      <c r="U97" s="450">
        <f>IF($G$8=6,K65,0)</f>
        <v>0</v>
      </c>
      <c r="V97" s="450">
        <f>IF($G$8=7,L65,0)</f>
        <v>0</v>
      </c>
      <c r="W97" s="450">
        <f>IF($G$8=8,M65,0)</f>
        <v>0</v>
      </c>
      <c r="X97" s="450">
        <f>IF($G$8=9,N65,0)</f>
        <v>0</v>
      </c>
      <c r="Y97" s="450"/>
      <c r="Z97" s="450">
        <f>IF($G$8=1,V65,0)</f>
        <v>0</v>
      </c>
      <c r="AA97" s="450">
        <f>IF($G$8=2,W65,0)</f>
        <v>0</v>
      </c>
      <c r="AB97" s="450">
        <f>IF($G$8=3,X65,0)</f>
        <v>95</v>
      </c>
      <c r="AC97" s="450">
        <f>IF($G$8=4,Y65,0)</f>
        <v>0</v>
      </c>
      <c r="AD97" s="450">
        <f>IF($G$8=5,Z65,0)</f>
        <v>0</v>
      </c>
      <c r="AE97" s="450">
        <f>IF($G$8=6,AA65,0)</f>
        <v>0</v>
      </c>
      <c r="AF97" s="450"/>
      <c r="AG97" s="450">
        <f>IF($G$8=1,AC65,0)</f>
        <v>0</v>
      </c>
      <c r="AH97" s="450">
        <f>IF($G$8=2,AD65,0)</f>
        <v>0</v>
      </c>
      <c r="AI97" s="450">
        <f>IF($G$8=3,AE65,0)</f>
        <v>73</v>
      </c>
      <c r="AJ97" s="450">
        <f>IF($G$8=4,AF65,0)</f>
        <v>0</v>
      </c>
      <c r="AK97" s="416">
        <f>IF($G$8=5,AG65,0)</f>
        <v>0</v>
      </c>
      <c r="AL97" s="416">
        <f>IF($G$8=6,AH65,0)</f>
        <v>0</v>
      </c>
      <c r="AM97" s="416"/>
      <c r="AN97" s="416">
        <f>IF($G$8=1,T33,0)</f>
        <v>0</v>
      </c>
      <c r="AO97" s="416">
        <f>IF($G$8=2,U33,0)</f>
        <v>0</v>
      </c>
      <c r="AP97" s="416">
        <f>IF($G$8=3,V33,0)</f>
        <v>4</v>
      </c>
      <c r="AQ97" s="416">
        <f>IF($G$8=4,W33,0)</f>
        <v>0</v>
      </c>
      <c r="AR97" s="416">
        <f>IF($G$8=5,X33,0)</f>
        <v>0</v>
      </c>
      <c r="AS97" s="416">
        <f>IF($G$8=6,Y33,0)</f>
        <v>0</v>
      </c>
      <c r="AT97" s="416"/>
      <c r="AU97" s="416"/>
      <c r="AV97" s="405"/>
      <c r="AW97" s="405"/>
      <c r="AX97" s="405"/>
      <c r="AY97" s="405"/>
      <c r="AZ97" s="405"/>
      <c r="BA97" s="405"/>
    </row>
    <row r="98" spans="1:56" ht="16.5" customHeight="1">
      <c r="C98" s="197" t="str">
        <f>C66</f>
        <v>Gesloten schroefpomp FFI</v>
      </c>
      <c r="D98" s="197" t="str">
        <f>D66</f>
        <v>Axiaal</v>
      </c>
      <c r="E98" s="206">
        <v>1.5999999999999999E-5</v>
      </c>
      <c r="F98" s="287">
        <f t="shared" si="13"/>
        <v>100</v>
      </c>
      <c r="G98" s="226"/>
      <c r="H98" s="226">
        <f t="shared" si="43"/>
        <v>1.0000001599999999</v>
      </c>
      <c r="I98" s="308"/>
      <c r="J98" s="219">
        <f t="shared" si="44"/>
        <v>2</v>
      </c>
      <c r="K98" s="197">
        <f t="shared" si="14"/>
        <v>100</v>
      </c>
      <c r="L98" s="197">
        <f t="shared" si="15"/>
        <v>100</v>
      </c>
      <c r="M98" s="306"/>
      <c r="N98" s="419" t="str">
        <f t="shared" si="45"/>
        <v>Gesloten schroefpomp FFI</v>
      </c>
      <c r="O98" s="457">
        <f t="shared" si="46"/>
        <v>1.0000001599999999</v>
      </c>
      <c r="P98" s="450">
        <f>IF($G$8=1,F66,0)</f>
        <v>0</v>
      </c>
      <c r="Q98" s="450">
        <f>IF($G$8=2,G66,0)</f>
        <v>0</v>
      </c>
      <c r="R98" s="450">
        <f>IF($G$8=3,H66,0)</f>
        <v>100</v>
      </c>
      <c r="S98" s="450">
        <f>IF($G$8=4,I66,0)</f>
        <v>0</v>
      </c>
      <c r="T98" s="450">
        <f>IF($G$8=5,J66,0)</f>
        <v>0</v>
      </c>
      <c r="U98" s="450">
        <f>IF($G$8=6,K66,0)</f>
        <v>0</v>
      </c>
      <c r="V98" s="450">
        <f>IF($G$8=7,L66,0)</f>
        <v>0</v>
      </c>
      <c r="W98" s="450">
        <f>IF($G$8=8,M66,0)</f>
        <v>0</v>
      </c>
      <c r="X98" s="450">
        <f>IF($G$8=9,N66,0)</f>
        <v>0</v>
      </c>
      <c r="Y98" s="450"/>
      <c r="Z98" s="450">
        <f>IF($G$8=1,V66,0)</f>
        <v>0</v>
      </c>
      <c r="AA98" s="450">
        <f>IF($G$8=2,W66,0)</f>
        <v>0</v>
      </c>
      <c r="AB98" s="450">
        <f>IF($G$8=3,X66,0)</f>
        <v>100</v>
      </c>
      <c r="AC98" s="450">
        <f>IF($G$8=4,Y66,0)</f>
        <v>0</v>
      </c>
      <c r="AD98" s="450">
        <f>IF($G$8=5,Z66,0)</f>
        <v>0</v>
      </c>
      <c r="AE98" s="450">
        <f>IF($G$8=6,AA66,0)</f>
        <v>0</v>
      </c>
      <c r="AF98" s="450"/>
      <c r="AG98" s="450">
        <f>IF($G$8=1,AC66,0)</f>
        <v>0</v>
      </c>
      <c r="AH98" s="450">
        <f>IF($G$8=2,AD66,0)</f>
        <v>0</v>
      </c>
      <c r="AI98" s="450">
        <f>IF($G$8=3,AE66,0)</f>
        <v>100</v>
      </c>
      <c r="AJ98" s="450">
        <f>IF($G$8=4,AF66,0)</f>
        <v>0</v>
      </c>
      <c r="AK98" s="416">
        <f>IF($G$8=5,AG66,0)</f>
        <v>0</v>
      </c>
      <c r="AL98" s="416">
        <f>IF($G$8=6,AH66,0)</f>
        <v>0</v>
      </c>
      <c r="AM98" s="416"/>
      <c r="AN98" s="416">
        <f>IF($G$8=1,T34,0)</f>
        <v>0</v>
      </c>
      <c r="AO98" s="416">
        <f>IF($G$8=2,U34,0)</f>
        <v>0</v>
      </c>
      <c r="AP98" s="416">
        <f>IF($G$8=3,V34,0)</f>
        <v>2</v>
      </c>
      <c r="AQ98" s="416">
        <f>IF($G$8=4,W34,0)</f>
        <v>0</v>
      </c>
      <c r="AR98" s="416">
        <f>IF($G$8=5,X34,0)</f>
        <v>0</v>
      </c>
      <c r="AS98" s="416">
        <f>IF($G$8=6,Y34,0)</f>
        <v>0</v>
      </c>
      <c r="AT98" s="416"/>
      <c r="AU98" s="416"/>
      <c r="AV98" s="405"/>
      <c r="AW98" s="405"/>
      <c r="AX98" s="405"/>
      <c r="AY98" s="405"/>
      <c r="AZ98" s="405"/>
      <c r="BA98" s="405"/>
    </row>
    <row r="99" spans="1:56" ht="16.5" customHeight="1">
      <c r="C99" s="197" t="str">
        <f>C67</f>
        <v>Horizontale schroefpomp (kattenrug)</v>
      </c>
      <c r="D99" s="197" t="str">
        <f>D67</f>
        <v>Axiaal</v>
      </c>
      <c r="E99" s="206"/>
      <c r="F99" s="287">
        <f t="shared" si="13"/>
        <v>95</v>
      </c>
      <c r="G99" s="226"/>
      <c r="H99" s="226">
        <f t="shared" si="43"/>
        <v>0.95</v>
      </c>
      <c r="I99" s="308"/>
      <c r="J99" s="219">
        <f t="shared" ref="J99" si="47">SUM(AN99:AS99)</f>
        <v>0</v>
      </c>
      <c r="K99" s="197">
        <f t="shared" ref="K99" si="48">SUM(AG99:AL99)</f>
        <v>0</v>
      </c>
      <c r="L99" s="197">
        <f t="shared" ref="L99" si="49">SUM(Z99:AE99)</f>
        <v>0</v>
      </c>
      <c r="M99" s="306"/>
      <c r="N99" s="419" t="str">
        <f t="shared" si="45"/>
        <v>Horizontale schroefpomp (kattenrug)</v>
      </c>
      <c r="O99" s="457">
        <f t="shared" ref="O99" si="50">IF(ISNUMBER(H99),H99,"")</f>
        <v>0.95</v>
      </c>
      <c r="P99" s="450">
        <f>IF($G$8=1,F67,0)</f>
        <v>0</v>
      </c>
      <c r="Q99" s="450">
        <f>IF($G$8=2,G67,0)</f>
        <v>0</v>
      </c>
      <c r="R99" s="450">
        <f>IF($G$8=3,H67,0)</f>
        <v>95</v>
      </c>
      <c r="S99" s="450">
        <f>IF($G$8=4,I67,0)</f>
        <v>0</v>
      </c>
      <c r="T99" s="450">
        <f>IF($G$8=5,J67,0)</f>
        <v>0</v>
      </c>
      <c r="U99" s="450">
        <f>IF($G$8=6,K67,0)</f>
        <v>0</v>
      </c>
      <c r="V99" s="450">
        <f>IF($G$8=7,L67,0)</f>
        <v>0</v>
      </c>
      <c r="W99" s="450">
        <f>IF($G$8=8,M67,0)</f>
        <v>0</v>
      </c>
      <c r="X99" s="450">
        <f>IF($G$8=9,N67,0)</f>
        <v>0</v>
      </c>
      <c r="Y99" s="450"/>
      <c r="Z99" s="450"/>
      <c r="AA99" s="450"/>
      <c r="AB99" s="450"/>
      <c r="AC99" s="450"/>
      <c r="AD99" s="450"/>
      <c r="AE99" s="450"/>
      <c r="AF99" s="450"/>
      <c r="AG99" s="450"/>
      <c r="AH99" s="450"/>
      <c r="AI99" s="450"/>
      <c r="AJ99" s="450"/>
      <c r="AK99" s="416"/>
      <c r="AL99" s="416"/>
      <c r="AM99" s="416"/>
      <c r="AN99" s="416"/>
      <c r="AO99" s="416"/>
      <c r="AP99" s="416"/>
      <c r="AQ99" s="416"/>
      <c r="AR99" s="416"/>
      <c r="AS99" s="416"/>
      <c r="AT99" s="416"/>
      <c r="AU99" s="416"/>
      <c r="AV99" s="405"/>
      <c r="AW99" s="405"/>
      <c r="AX99" s="405"/>
      <c r="AY99" s="405"/>
      <c r="AZ99" s="405"/>
      <c r="BA99" s="405"/>
    </row>
    <row r="100" spans="1:56" ht="16.5" customHeight="1">
      <c r="C100" s="197" t="str">
        <f t="shared" ref="C100:C103" si="51">C68</f>
        <v>Open schroefpomp</v>
      </c>
      <c r="D100" s="197" t="str">
        <f t="shared" ref="D100:D103" si="52">D68</f>
        <v>Axiaal</v>
      </c>
      <c r="E100" s="206">
        <v>1.7E-5</v>
      </c>
      <c r="F100" s="287">
        <f t="shared" si="13"/>
        <v>73.666666666666671</v>
      </c>
      <c r="G100" s="226"/>
      <c r="H100" s="226">
        <f t="shared" si="43"/>
        <v>0.73666683666666666</v>
      </c>
      <c r="I100" s="308"/>
      <c r="J100" s="219">
        <f t="shared" si="44"/>
        <v>6</v>
      </c>
      <c r="K100" s="197">
        <f t="shared" si="14"/>
        <v>0</v>
      </c>
      <c r="L100" s="197">
        <f t="shared" si="15"/>
        <v>99</v>
      </c>
      <c r="M100" s="306"/>
      <c r="N100" s="419" t="str">
        <f t="shared" si="45"/>
        <v>Open schroefpomp</v>
      </c>
      <c r="O100" s="457">
        <f t="shared" si="46"/>
        <v>0.73666683666666666</v>
      </c>
      <c r="P100" s="450">
        <f t="shared" ref="P100:P103" si="53">IF($G$8=1,F68,0)</f>
        <v>0</v>
      </c>
      <c r="Q100" s="450">
        <f t="shared" ref="Q100:Q103" si="54">IF($G$8=2,G68,0)</f>
        <v>0</v>
      </c>
      <c r="R100" s="450">
        <f t="shared" ref="R100:R103" si="55">IF($G$8=3,H68,0)</f>
        <v>73.666666666666671</v>
      </c>
      <c r="S100" s="450">
        <f t="shared" ref="S100:S103" si="56">IF($G$8=4,I68,0)</f>
        <v>0</v>
      </c>
      <c r="T100" s="450">
        <f t="shared" ref="T100:T103" si="57">IF($G$8=5,J68,0)</f>
        <v>0</v>
      </c>
      <c r="U100" s="450">
        <f t="shared" ref="U100:U103" si="58">IF($G$8=6,K68,0)</f>
        <v>0</v>
      </c>
      <c r="V100" s="450">
        <f t="shared" ref="V100:V103" si="59">IF($G$8=7,L68,0)</f>
        <v>0</v>
      </c>
      <c r="W100" s="450">
        <f t="shared" ref="W100:W103" si="60">IF($G$8=8,M68,0)</f>
        <v>0</v>
      </c>
      <c r="X100" s="450">
        <f t="shared" ref="X100:X103" si="61">IF($G$8=9,N68,0)</f>
        <v>0</v>
      </c>
      <c r="Y100" s="450"/>
      <c r="Z100" s="450">
        <f t="shared" ref="Z100:Z103" si="62">IF($G$8=1,V68,0)</f>
        <v>0</v>
      </c>
      <c r="AA100" s="450">
        <f t="shared" ref="AA100:AA103" si="63">IF($G$8=2,W68,0)</f>
        <v>0</v>
      </c>
      <c r="AB100" s="450">
        <f t="shared" ref="AB100:AB103" si="64">IF($G$8=3,X68,0)</f>
        <v>99</v>
      </c>
      <c r="AC100" s="450">
        <f t="shared" ref="AC100:AC103" si="65">IF($G$8=4,Y68,0)</f>
        <v>0</v>
      </c>
      <c r="AD100" s="450">
        <f t="shared" ref="AD100:AD103" si="66">IF($G$8=5,Z68,0)</f>
        <v>0</v>
      </c>
      <c r="AE100" s="450">
        <f t="shared" ref="AE100:AE103" si="67">IF($G$8=6,AA68,0)</f>
        <v>0</v>
      </c>
      <c r="AF100" s="450"/>
      <c r="AG100" s="450">
        <f t="shared" ref="AG100:AG103" si="68">IF($G$8=1,AC68,0)</f>
        <v>0</v>
      </c>
      <c r="AH100" s="450">
        <f t="shared" ref="AH100:AH103" si="69">IF($G$8=2,AD68,0)</f>
        <v>0</v>
      </c>
      <c r="AI100" s="450">
        <f t="shared" ref="AI100:AI103" si="70">IF($G$8=3,AE68,0)</f>
        <v>0</v>
      </c>
      <c r="AJ100" s="450">
        <f t="shared" ref="AJ100:AJ103" si="71">IF($G$8=4,AF68,0)</f>
        <v>0</v>
      </c>
      <c r="AK100" s="416">
        <f t="shared" ref="AK100:AK103" si="72">IF($G$8=5,AG68,0)</f>
        <v>0</v>
      </c>
      <c r="AL100" s="416">
        <f t="shared" ref="AL100:AL103" si="73">IF($G$8=6,AH68,0)</f>
        <v>0</v>
      </c>
      <c r="AM100" s="416"/>
      <c r="AN100" s="416">
        <f t="shared" ref="AN100:AN103" si="74">IF($G$8=1,T36,0)</f>
        <v>0</v>
      </c>
      <c r="AO100" s="416">
        <f t="shared" ref="AO100:AO103" si="75">IF($G$8=2,U36,0)</f>
        <v>0</v>
      </c>
      <c r="AP100" s="416">
        <f t="shared" ref="AP100:AP103" si="76">IF($G$8=3,V36,0)</f>
        <v>6</v>
      </c>
      <c r="AQ100" s="416">
        <f t="shared" ref="AQ100:AQ103" si="77">IF($G$8=4,W36,0)</f>
        <v>0</v>
      </c>
      <c r="AR100" s="416">
        <f t="shared" ref="AR100:AR103" si="78">IF($G$8=5,X36,0)</f>
        <v>0</v>
      </c>
      <c r="AS100" s="416">
        <f t="shared" ref="AS100:AS103" si="79">IF($G$8=6,Y36,0)</f>
        <v>0</v>
      </c>
      <c r="AT100" s="416"/>
      <c r="AU100" s="416"/>
      <c r="AV100" s="405"/>
      <c r="AW100" s="405"/>
      <c r="AX100" s="405"/>
      <c r="AY100" s="405"/>
      <c r="AZ100" s="405"/>
      <c r="BA100" s="405"/>
    </row>
    <row r="101" spans="1:56" ht="16.5" customHeight="1">
      <c r="C101" s="197" t="str">
        <f t="shared" si="51"/>
        <v>Schroefpomp</v>
      </c>
      <c r="D101" s="197" t="str">
        <f t="shared" si="52"/>
        <v>Axiaal</v>
      </c>
      <c r="E101" s="206">
        <v>1.8E-5</v>
      </c>
      <c r="F101" s="287">
        <f t="shared" si="13"/>
        <v>80.8</v>
      </c>
      <c r="G101" s="226"/>
      <c r="H101" s="226">
        <f t="shared" si="43"/>
        <v>0.80800017999999996</v>
      </c>
      <c r="I101" s="308"/>
      <c r="J101" s="219">
        <f t="shared" si="44"/>
        <v>5</v>
      </c>
      <c r="K101" s="197">
        <f t="shared" si="14"/>
        <v>42</v>
      </c>
      <c r="L101" s="197">
        <f t="shared" si="15"/>
        <v>71</v>
      </c>
      <c r="M101" s="306"/>
      <c r="N101" s="419" t="str">
        <f t="shared" si="45"/>
        <v>Schroefpomp</v>
      </c>
      <c r="O101" s="457">
        <f t="shared" si="46"/>
        <v>0.80800017999999996</v>
      </c>
      <c r="P101" s="450">
        <f t="shared" si="53"/>
        <v>0</v>
      </c>
      <c r="Q101" s="450">
        <f t="shared" si="54"/>
        <v>0</v>
      </c>
      <c r="R101" s="450">
        <f t="shared" si="55"/>
        <v>80.8</v>
      </c>
      <c r="S101" s="450">
        <f t="shared" si="56"/>
        <v>0</v>
      </c>
      <c r="T101" s="450">
        <f t="shared" si="57"/>
        <v>0</v>
      </c>
      <c r="U101" s="450">
        <f t="shared" si="58"/>
        <v>0</v>
      </c>
      <c r="V101" s="450">
        <f t="shared" si="59"/>
        <v>0</v>
      </c>
      <c r="W101" s="450">
        <f t="shared" si="60"/>
        <v>0</v>
      </c>
      <c r="X101" s="450">
        <f t="shared" si="61"/>
        <v>0</v>
      </c>
      <c r="Y101" s="450"/>
      <c r="Z101" s="450">
        <f t="shared" si="62"/>
        <v>0</v>
      </c>
      <c r="AA101" s="450">
        <f t="shared" si="63"/>
        <v>0</v>
      </c>
      <c r="AB101" s="450">
        <f t="shared" si="64"/>
        <v>71</v>
      </c>
      <c r="AC101" s="450">
        <f t="shared" si="65"/>
        <v>0</v>
      </c>
      <c r="AD101" s="450">
        <f t="shared" si="66"/>
        <v>0</v>
      </c>
      <c r="AE101" s="450">
        <f t="shared" si="67"/>
        <v>0</v>
      </c>
      <c r="AF101" s="450"/>
      <c r="AG101" s="450">
        <f t="shared" si="68"/>
        <v>0</v>
      </c>
      <c r="AH101" s="450">
        <f t="shared" si="69"/>
        <v>0</v>
      </c>
      <c r="AI101" s="450">
        <f t="shared" si="70"/>
        <v>42</v>
      </c>
      <c r="AJ101" s="450">
        <f t="shared" si="71"/>
        <v>0</v>
      </c>
      <c r="AK101" s="416">
        <f t="shared" si="72"/>
        <v>0</v>
      </c>
      <c r="AL101" s="416">
        <f t="shared" si="73"/>
        <v>0</v>
      </c>
      <c r="AM101" s="416"/>
      <c r="AN101" s="416">
        <f t="shared" si="74"/>
        <v>0</v>
      </c>
      <c r="AO101" s="416">
        <f t="shared" si="75"/>
        <v>0</v>
      </c>
      <c r="AP101" s="416">
        <f t="shared" si="76"/>
        <v>5</v>
      </c>
      <c r="AQ101" s="416">
        <f t="shared" si="77"/>
        <v>0</v>
      </c>
      <c r="AR101" s="416">
        <f t="shared" si="78"/>
        <v>0</v>
      </c>
      <c r="AS101" s="416">
        <f t="shared" si="79"/>
        <v>0</v>
      </c>
      <c r="AT101" s="416"/>
      <c r="AU101" s="416"/>
      <c r="AV101" s="405"/>
      <c r="AW101" s="405"/>
      <c r="AX101" s="405"/>
      <c r="AY101" s="405"/>
      <c r="AZ101" s="405"/>
      <c r="BA101" s="405"/>
    </row>
    <row r="102" spans="1:56" ht="16.5" customHeight="1">
      <c r="C102" s="197" t="str">
        <f t="shared" si="51"/>
        <v>Faunapomp</v>
      </c>
      <c r="D102" s="197" t="str">
        <f t="shared" si="52"/>
        <v>Drukpomp</v>
      </c>
      <c r="E102" s="206">
        <v>1.9000000000000001E-5</v>
      </c>
      <c r="F102" s="287">
        <f t="shared" si="13"/>
        <v>100</v>
      </c>
      <c r="G102" s="226"/>
      <c r="H102" s="226">
        <f t="shared" si="43"/>
        <v>1.00000019</v>
      </c>
      <c r="I102" s="308"/>
      <c r="J102" s="219">
        <f t="shared" si="44"/>
        <v>1</v>
      </c>
      <c r="K102" s="197">
        <f t="shared" si="14"/>
        <v>100</v>
      </c>
      <c r="L102" s="197">
        <f t="shared" si="15"/>
        <v>100</v>
      </c>
      <c r="M102" s="306"/>
      <c r="N102" s="419" t="str">
        <f t="shared" si="45"/>
        <v>Faunapomp</v>
      </c>
      <c r="O102" s="457">
        <f t="shared" si="46"/>
        <v>1.00000019</v>
      </c>
      <c r="P102" s="450">
        <f t="shared" si="53"/>
        <v>0</v>
      </c>
      <c r="Q102" s="450">
        <f t="shared" si="54"/>
        <v>0</v>
      </c>
      <c r="R102" s="450">
        <f t="shared" si="55"/>
        <v>100</v>
      </c>
      <c r="S102" s="450">
        <f t="shared" si="56"/>
        <v>0</v>
      </c>
      <c r="T102" s="450">
        <f t="shared" si="57"/>
        <v>0</v>
      </c>
      <c r="U102" s="450">
        <f t="shared" si="58"/>
        <v>0</v>
      </c>
      <c r="V102" s="450">
        <f t="shared" si="59"/>
        <v>0</v>
      </c>
      <c r="W102" s="450">
        <f t="shared" si="60"/>
        <v>0</v>
      </c>
      <c r="X102" s="450">
        <f t="shared" si="61"/>
        <v>0</v>
      </c>
      <c r="Y102" s="450"/>
      <c r="Z102" s="450">
        <f t="shared" si="62"/>
        <v>0</v>
      </c>
      <c r="AA102" s="450">
        <f t="shared" si="63"/>
        <v>0</v>
      </c>
      <c r="AB102" s="450">
        <f t="shared" si="64"/>
        <v>100</v>
      </c>
      <c r="AC102" s="450">
        <f t="shared" si="65"/>
        <v>0</v>
      </c>
      <c r="AD102" s="450">
        <f t="shared" si="66"/>
        <v>0</v>
      </c>
      <c r="AE102" s="450">
        <f t="shared" si="67"/>
        <v>0</v>
      </c>
      <c r="AF102" s="450"/>
      <c r="AG102" s="450">
        <f t="shared" si="68"/>
        <v>0</v>
      </c>
      <c r="AH102" s="450">
        <f t="shared" si="69"/>
        <v>0</v>
      </c>
      <c r="AI102" s="450">
        <f t="shared" si="70"/>
        <v>100</v>
      </c>
      <c r="AJ102" s="450">
        <f t="shared" si="71"/>
        <v>0</v>
      </c>
      <c r="AK102" s="416">
        <f t="shared" si="72"/>
        <v>0</v>
      </c>
      <c r="AL102" s="416">
        <f t="shared" si="73"/>
        <v>0</v>
      </c>
      <c r="AM102" s="416"/>
      <c r="AN102" s="416">
        <f t="shared" si="74"/>
        <v>0</v>
      </c>
      <c r="AO102" s="416">
        <f t="shared" si="75"/>
        <v>0</v>
      </c>
      <c r="AP102" s="416">
        <f t="shared" si="76"/>
        <v>1</v>
      </c>
      <c r="AQ102" s="416">
        <f t="shared" si="77"/>
        <v>0</v>
      </c>
      <c r="AR102" s="416">
        <f t="shared" si="78"/>
        <v>0</v>
      </c>
      <c r="AS102" s="416">
        <f t="shared" si="79"/>
        <v>0</v>
      </c>
      <c r="AT102" s="416"/>
      <c r="AU102" s="416"/>
      <c r="AV102" s="405"/>
      <c r="AW102" s="405"/>
      <c r="AX102" s="405"/>
      <c r="AY102" s="405"/>
      <c r="AZ102" s="405"/>
      <c r="BA102" s="405"/>
    </row>
    <row r="103" spans="1:56" ht="16.5" customHeight="1">
      <c r="C103" s="197" t="str">
        <f t="shared" si="51"/>
        <v>Schepradgemaal</v>
      </c>
      <c r="D103" s="197" t="str">
        <f t="shared" si="52"/>
        <v>Scheprad</v>
      </c>
      <c r="E103" s="206">
        <v>2.0000000000000002E-5</v>
      </c>
      <c r="F103" s="287">
        <f t="shared" si="13"/>
        <v>100</v>
      </c>
      <c r="G103" s="226"/>
      <c r="H103" s="226">
        <f t="shared" si="43"/>
        <v>1.0000002000000001</v>
      </c>
      <c r="I103" s="308"/>
      <c r="J103" s="219">
        <f t="shared" si="44"/>
        <v>1</v>
      </c>
      <c r="K103" s="197">
        <f t="shared" si="14"/>
        <v>100</v>
      </c>
      <c r="L103" s="197">
        <f t="shared" si="15"/>
        <v>100</v>
      </c>
      <c r="M103" s="306"/>
      <c r="N103" s="419" t="str">
        <f t="shared" si="45"/>
        <v>Schepradgemaal</v>
      </c>
      <c r="O103" s="457">
        <f t="shared" si="46"/>
        <v>1.0000002000000001</v>
      </c>
      <c r="P103" s="450">
        <f t="shared" si="53"/>
        <v>0</v>
      </c>
      <c r="Q103" s="450">
        <f t="shared" si="54"/>
        <v>0</v>
      </c>
      <c r="R103" s="450">
        <f t="shared" si="55"/>
        <v>100</v>
      </c>
      <c r="S103" s="450">
        <f t="shared" si="56"/>
        <v>0</v>
      </c>
      <c r="T103" s="450">
        <f t="shared" si="57"/>
        <v>0</v>
      </c>
      <c r="U103" s="450">
        <f t="shared" si="58"/>
        <v>0</v>
      </c>
      <c r="V103" s="450">
        <f t="shared" si="59"/>
        <v>0</v>
      </c>
      <c r="W103" s="450">
        <f t="shared" si="60"/>
        <v>0</v>
      </c>
      <c r="X103" s="450">
        <f t="shared" si="61"/>
        <v>0</v>
      </c>
      <c r="Y103" s="450"/>
      <c r="Z103" s="450">
        <f t="shared" si="62"/>
        <v>0</v>
      </c>
      <c r="AA103" s="450">
        <f t="shared" si="63"/>
        <v>0</v>
      </c>
      <c r="AB103" s="450">
        <f t="shared" si="64"/>
        <v>100</v>
      </c>
      <c r="AC103" s="450">
        <f t="shared" si="65"/>
        <v>0</v>
      </c>
      <c r="AD103" s="450">
        <f t="shared" si="66"/>
        <v>0</v>
      </c>
      <c r="AE103" s="450">
        <f t="shared" si="67"/>
        <v>0</v>
      </c>
      <c r="AF103" s="450"/>
      <c r="AG103" s="450">
        <f t="shared" si="68"/>
        <v>0</v>
      </c>
      <c r="AH103" s="450">
        <f t="shared" si="69"/>
        <v>0</v>
      </c>
      <c r="AI103" s="450">
        <f t="shared" si="70"/>
        <v>100</v>
      </c>
      <c r="AJ103" s="450">
        <f t="shared" si="71"/>
        <v>0</v>
      </c>
      <c r="AK103" s="416">
        <f t="shared" si="72"/>
        <v>0</v>
      </c>
      <c r="AL103" s="416">
        <f t="shared" si="73"/>
        <v>0</v>
      </c>
      <c r="AM103" s="416"/>
      <c r="AN103" s="416">
        <f t="shared" si="74"/>
        <v>0</v>
      </c>
      <c r="AO103" s="416">
        <f t="shared" si="75"/>
        <v>0</v>
      </c>
      <c r="AP103" s="416">
        <f t="shared" si="76"/>
        <v>1</v>
      </c>
      <c r="AQ103" s="416">
        <f t="shared" si="77"/>
        <v>0</v>
      </c>
      <c r="AR103" s="416">
        <f t="shared" si="78"/>
        <v>0</v>
      </c>
      <c r="AS103" s="416">
        <f t="shared" si="79"/>
        <v>0</v>
      </c>
      <c r="AT103" s="416"/>
      <c r="AU103" s="416"/>
      <c r="AV103" s="405"/>
      <c r="AW103" s="405"/>
      <c r="AX103" s="405"/>
      <c r="AY103" s="405"/>
      <c r="AZ103" s="405"/>
      <c r="BA103" s="405"/>
    </row>
    <row r="104" spans="1:56">
      <c r="B104" s="206"/>
      <c r="C104" s="286" t="s">
        <v>11</v>
      </c>
      <c r="D104" s="286" t="s">
        <v>11</v>
      </c>
      <c r="E104" s="206"/>
      <c r="F104" s="206"/>
      <c r="G104" s="206"/>
      <c r="H104" s="206">
        <v>0</v>
      </c>
      <c r="I104" s="308"/>
      <c r="J104" s="206"/>
      <c r="K104" s="206"/>
      <c r="L104" s="206"/>
      <c r="M104" s="211"/>
      <c r="N104" s="420" t="s">
        <v>11</v>
      </c>
      <c r="O104" s="458"/>
      <c r="P104" s="450"/>
      <c r="Q104" s="450"/>
      <c r="R104" s="450"/>
      <c r="S104" s="450"/>
      <c r="T104" s="451"/>
      <c r="U104" s="450"/>
      <c r="V104" s="450"/>
      <c r="W104" s="450"/>
      <c r="X104" s="450"/>
      <c r="Y104" s="450"/>
      <c r="Z104" s="450"/>
      <c r="AA104" s="450"/>
      <c r="AB104" s="450"/>
      <c r="AC104" s="450"/>
      <c r="AD104" s="450"/>
      <c r="AE104" s="450"/>
      <c r="AF104" s="450"/>
      <c r="AG104" s="450"/>
      <c r="AH104" s="450"/>
      <c r="AI104" s="450"/>
      <c r="AJ104" s="450"/>
      <c r="AK104" s="416"/>
      <c r="AL104" s="416"/>
      <c r="AM104" s="416"/>
      <c r="AN104" s="416"/>
      <c r="AO104" s="416"/>
      <c r="AP104" s="416"/>
      <c r="AQ104" s="416"/>
      <c r="AR104" s="416"/>
      <c r="AS104" s="416"/>
      <c r="AT104" s="416"/>
      <c r="AU104" s="416"/>
      <c r="AV104" s="405"/>
      <c r="AW104" s="405"/>
      <c r="AX104" s="405"/>
      <c r="AY104" s="405"/>
      <c r="AZ104" s="405"/>
      <c r="BA104" s="405"/>
      <c r="BB104" s="211"/>
      <c r="BC104" s="211"/>
      <c r="BD104" s="211"/>
    </row>
    <row r="105" spans="1:56">
      <c r="B105" s="206"/>
      <c r="C105" s="206"/>
      <c r="D105" s="206"/>
      <c r="E105" s="206"/>
      <c r="F105" s="206"/>
      <c r="G105" s="206"/>
      <c r="H105" s="206"/>
      <c r="I105" s="206"/>
      <c r="J105" s="206"/>
      <c r="K105" s="206"/>
      <c r="L105" s="206"/>
      <c r="M105" s="206"/>
      <c r="N105" s="416"/>
      <c r="O105" s="450"/>
      <c r="P105" s="450"/>
      <c r="Q105" s="450"/>
      <c r="R105" s="450"/>
      <c r="S105" s="451"/>
      <c r="T105" s="450"/>
      <c r="U105" s="450"/>
      <c r="V105" s="450"/>
      <c r="W105" s="450"/>
      <c r="X105" s="450"/>
      <c r="Y105" s="450"/>
      <c r="Z105" s="450"/>
      <c r="AA105" s="450"/>
      <c r="AB105" s="450"/>
      <c r="AC105" s="450"/>
      <c r="AD105" s="450"/>
      <c r="AE105" s="450"/>
      <c r="AF105" s="450"/>
      <c r="AG105" s="450"/>
      <c r="AH105" s="450"/>
      <c r="AI105" s="450"/>
      <c r="AJ105" s="450"/>
      <c r="AK105" s="416"/>
      <c r="AL105" s="416"/>
      <c r="AM105" s="416"/>
      <c r="AN105" s="416"/>
      <c r="AO105" s="416"/>
      <c r="AP105" s="416"/>
      <c r="AQ105" s="416"/>
      <c r="AR105" s="416"/>
      <c r="AS105" s="416"/>
      <c r="AT105" s="416"/>
      <c r="AU105" s="416"/>
      <c r="AV105" s="199"/>
    </row>
    <row r="106" spans="1:56">
      <c r="B106" s="429">
        <v>3</v>
      </c>
      <c r="C106" s="189" t="s">
        <v>304</v>
      </c>
      <c r="D106" s="190"/>
      <c r="E106" s="190"/>
      <c r="F106" s="190"/>
      <c r="G106" s="190"/>
      <c r="H106" s="190"/>
      <c r="I106" s="190"/>
      <c r="J106" s="190"/>
      <c r="K106" s="190"/>
      <c r="L106" s="190"/>
      <c r="M106" s="190"/>
      <c r="N106" s="421"/>
      <c r="O106" s="450"/>
      <c r="P106" s="450"/>
      <c r="Q106" s="450"/>
      <c r="R106" s="450"/>
      <c r="S106" s="450"/>
      <c r="T106" s="450"/>
      <c r="U106" s="450"/>
      <c r="V106" s="450"/>
      <c r="W106" s="450"/>
      <c r="X106" s="450"/>
      <c r="Y106" s="450"/>
      <c r="Z106" s="450"/>
      <c r="AA106" s="450"/>
      <c r="AB106" s="450"/>
      <c r="AC106" s="450"/>
      <c r="AD106" s="450"/>
      <c r="AE106" s="450"/>
      <c r="AF106" s="450"/>
      <c r="AG106" s="450"/>
      <c r="AH106" s="450"/>
      <c r="AI106" s="450"/>
      <c r="AJ106" s="450"/>
      <c r="AK106" s="416"/>
      <c r="AL106" s="416"/>
      <c r="AM106" s="416"/>
      <c r="AN106" s="416"/>
      <c r="AO106" s="416"/>
      <c r="AP106" s="416"/>
      <c r="AQ106" s="416"/>
      <c r="AR106" s="416"/>
      <c r="AS106" s="416"/>
      <c r="AT106" s="416"/>
      <c r="AU106" s="416"/>
    </row>
    <row r="107" spans="1:56">
      <c r="B107" s="430"/>
      <c r="O107" s="450"/>
      <c r="P107" s="450"/>
      <c r="Q107" s="450"/>
      <c r="R107" s="450"/>
      <c r="S107" s="450"/>
      <c r="T107" s="450"/>
      <c r="U107" s="450"/>
      <c r="V107" s="450"/>
      <c r="W107" s="450"/>
      <c r="X107" s="450"/>
      <c r="Y107" s="450"/>
      <c r="Z107" s="450"/>
      <c r="AA107" s="450"/>
      <c r="AB107" s="450"/>
      <c r="AC107" s="450"/>
      <c r="AD107" s="450"/>
      <c r="AE107" s="450"/>
      <c r="AF107" s="450"/>
      <c r="AG107" s="450"/>
      <c r="AH107" s="450"/>
      <c r="AI107" s="450"/>
      <c r="AJ107" s="450"/>
      <c r="AM107" s="206"/>
      <c r="AN107" s="206"/>
      <c r="AO107" s="206"/>
      <c r="AP107" s="206"/>
      <c r="AQ107" s="206"/>
      <c r="AR107" s="206"/>
      <c r="AS107" s="206"/>
    </row>
    <row r="108" spans="1:56">
      <c r="B108" s="430"/>
      <c r="O108" s="450"/>
      <c r="P108" s="450"/>
      <c r="Q108" s="450"/>
      <c r="R108" s="450"/>
      <c r="S108" s="450"/>
      <c r="T108" s="450"/>
      <c r="U108" s="450"/>
      <c r="V108" s="450"/>
      <c r="W108" s="450"/>
      <c r="X108" s="450"/>
      <c r="Y108" s="450"/>
      <c r="Z108" s="450"/>
      <c r="AA108" s="450"/>
      <c r="AB108" s="450"/>
      <c r="AC108" s="450"/>
      <c r="AD108" s="450"/>
      <c r="AE108" s="450"/>
      <c r="AF108" s="450"/>
      <c r="AG108" s="450"/>
      <c r="AH108" s="450"/>
      <c r="AI108" s="450"/>
      <c r="AJ108" s="450"/>
      <c r="AM108" s="206"/>
      <c r="AN108" s="206"/>
      <c r="AO108" s="206"/>
      <c r="AP108" s="206"/>
      <c r="AQ108" s="206"/>
      <c r="AR108" s="206"/>
      <c r="AS108" s="206"/>
    </row>
    <row r="109" spans="1:56">
      <c r="A109" s="405"/>
      <c r="B109" s="405"/>
      <c r="C109" s="261" t="s">
        <v>18</v>
      </c>
      <c r="D109" s="258"/>
      <c r="E109" s="258"/>
      <c r="F109" s="258"/>
      <c r="G109" s="258"/>
      <c r="H109" s="258"/>
      <c r="I109" s="258"/>
      <c r="J109" s="266"/>
      <c r="K109" s="199"/>
      <c r="L109" s="199"/>
      <c r="M109" s="199"/>
      <c r="N109" s="199"/>
      <c r="O109" s="451"/>
      <c r="P109" s="450"/>
      <c r="Q109" s="450"/>
      <c r="R109" s="450"/>
      <c r="S109" s="450"/>
      <c r="T109" s="450"/>
      <c r="U109" s="450"/>
      <c r="V109" s="450"/>
      <c r="W109" s="450"/>
      <c r="X109" s="450"/>
      <c r="Y109" s="450"/>
      <c r="Z109" s="450"/>
      <c r="AA109" s="450"/>
      <c r="AB109" s="450"/>
      <c r="AC109" s="450"/>
      <c r="AD109" s="450"/>
      <c r="AE109" s="450"/>
      <c r="AF109" s="450"/>
      <c r="AG109" s="450"/>
      <c r="AH109" s="450"/>
      <c r="AI109" s="450"/>
      <c r="AJ109" s="450"/>
      <c r="AK109" s="199"/>
      <c r="AL109" s="199"/>
      <c r="AM109" s="206"/>
      <c r="AN109" s="206"/>
      <c r="AO109" s="206"/>
      <c r="AP109" s="206"/>
      <c r="AQ109" s="206"/>
      <c r="AR109" s="206"/>
      <c r="AS109" s="206"/>
    </row>
    <row r="110" spans="1:56" s="220" customFormat="1">
      <c r="A110" s="408"/>
      <c r="B110" s="408"/>
      <c r="C110" s="261"/>
      <c r="D110" s="258"/>
      <c r="E110" s="258"/>
      <c r="F110" s="258"/>
      <c r="G110" s="258"/>
      <c r="H110" s="258"/>
      <c r="I110" s="258"/>
      <c r="J110" s="266"/>
      <c r="N110" s="221"/>
      <c r="O110" s="459"/>
      <c r="P110" s="459"/>
      <c r="Q110" s="459"/>
      <c r="R110" s="459"/>
      <c r="S110" s="459"/>
      <c r="T110" s="459"/>
      <c r="U110" s="459"/>
      <c r="V110" s="459"/>
      <c r="W110" s="459"/>
      <c r="X110" s="459"/>
      <c r="Y110" s="459"/>
      <c r="Z110" s="459"/>
      <c r="AA110" s="459"/>
      <c r="AB110" s="459"/>
      <c r="AC110" s="459"/>
      <c r="AD110" s="459"/>
      <c r="AE110" s="459"/>
      <c r="AF110" s="459"/>
      <c r="AG110" s="459"/>
      <c r="AH110" s="459"/>
      <c r="AI110" s="459"/>
      <c r="AJ110" s="459"/>
      <c r="AM110" s="336"/>
      <c r="AN110" s="336"/>
      <c r="AO110" s="336"/>
      <c r="AP110" s="336"/>
      <c r="AQ110" s="336"/>
      <c r="AR110" s="336"/>
      <c r="AS110" s="336"/>
    </row>
    <row r="111" spans="1:56">
      <c r="A111" s="405"/>
      <c r="B111" s="405"/>
      <c r="C111" s="262" t="s">
        <v>230</v>
      </c>
      <c r="D111" s="262" t="s">
        <v>41</v>
      </c>
      <c r="E111" s="263" t="s">
        <v>254</v>
      </c>
      <c r="F111" s="263"/>
      <c r="G111" s="263"/>
      <c r="H111" s="263"/>
      <c r="I111" s="262" t="s">
        <v>252</v>
      </c>
      <c r="J111" s="267"/>
      <c r="N111" s="177"/>
      <c r="O111" s="450"/>
      <c r="P111" s="450"/>
      <c r="Q111" s="450"/>
      <c r="R111" s="450"/>
      <c r="S111" s="450"/>
      <c r="T111" s="450"/>
      <c r="U111" s="450"/>
      <c r="V111" s="450"/>
      <c r="W111" s="450"/>
      <c r="X111" s="450"/>
      <c r="Y111" s="450"/>
      <c r="Z111" s="450"/>
      <c r="AA111" s="450"/>
      <c r="AB111" s="450"/>
      <c r="AC111" s="450"/>
      <c r="AD111" s="450"/>
      <c r="AE111" s="450"/>
      <c r="AF111" s="450"/>
      <c r="AG111" s="450"/>
      <c r="AH111" s="450"/>
      <c r="AI111" s="450"/>
      <c r="AJ111" s="450"/>
      <c r="AM111" s="206"/>
      <c r="AN111" s="206"/>
      <c r="AO111" s="206"/>
      <c r="AP111" s="206"/>
      <c r="AQ111" s="206"/>
      <c r="AR111" s="206"/>
      <c r="AS111" s="206"/>
    </row>
    <row r="112" spans="1:56">
      <c r="A112" s="405"/>
      <c r="B112" s="416" t="str">
        <f>E112</f>
        <v>Schepradgemaal</v>
      </c>
      <c r="C112" s="264">
        <v>1</v>
      </c>
      <c r="D112" s="265">
        <f t="shared" ref="D112:D130" si="80">IF(ISNUMBER(LARGE($O$81:$O$103,C112)),LARGE($O$81:$O$103,C112),"")</f>
        <v>1.0000002000000001</v>
      </c>
      <c r="E112" s="258" t="str">
        <f>IF(ISNUMBER(D112),(VLOOKUP(D112,$H$81:$N$103,7,FALSE)),"")</f>
        <v>Schepradgemaal</v>
      </c>
      <c r="F112" s="258"/>
      <c r="G112" s="258"/>
      <c r="H112" s="258"/>
      <c r="I112" s="258" t="str">
        <f t="shared" ref="I112:I130" si="81">IF(ISNUMBER(D112),(VLOOKUP(E112,$C$81:$D$104,2,FALSE)),"")</f>
        <v>Scheprad</v>
      </c>
      <c r="J112" s="268">
        <f>D112</f>
        <v>1.0000002000000001</v>
      </c>
      <c r="N112" s="177"/>
      <c r="O112" s="450"/>
      <c r="P112" s="450"/>
      <c r="Q112" s="450"/>
      <c r="R112" s="450"/>
      <c r="S112" s="450"/>
      <c r="T112" s="450"/>
      <c r="U112" s="450"/>
      <c r="V112" s="450"/>
      <c r="W112" s="450"/>
      <c r="X112" s="450"/>
      <c r="Y112" s="450"/>
      <c r="Z112" s="450"/>
      <c r="AA112" s="450"/>
      <c r="AB112" s="450"/>
      <c r="AC112" s="450"/>
      <c r="AD112" s="450"/>
      <c r="AE112" s="450"/>
      <c r="AF112" s="450"/>
      <c r="AG112" s="450"/>
      <c r="AH112" s="450"/>
      <c r="AI112" s="450"/>
      <c r="AJ112" s="450"/>
      <c r="AM112" s="206"/>
      <c r="AN112" s="206"/>
      <c r="AO112" s="206"/>
      <c r="AP112" s="206"/>
      <c r="AQ112" s="206"/>
      <c r="AR112" s="206"/>
      <c r="AS112" s="206"/>
    </row>
    <row r="113" spans="1:45">
      <c r="A113" s="405"/>
      <c r="B113" s="416" t="str">
        <f t="shared" ref="B113:B131" si="82">E113</f>
        <v>Faunapomp</v>
      </c>
      <c r="C113" s="264">
        <v>2</v>
      </c>
      <c r="D113" s="265">
        <f t="shared" si="80"/>
        <v>1.00000019</v>
      </c>
      <c r="E113" s="258" t="str">
        <f t="shared" ref="E113:E131" si="83">IF(ISNUMBER(D113),(VLOOKUP(D113,$H$81:$N$103,7,FALSE)),"")</f>
        <v>Faunapomp</v>
      </c>
      <c r="F113" s="258"/>
      <c r="G113" s="258"/>
      <c r="H113" s="258"/>
      <c r="I113" s="258" t="str">
        <f t="shared" si="81"/>
        <v>Drukpomp</v>
      </c>
      <c r="J113" s="268">
        <f t="shared" ref="J113:J131" si="84">D113</f>
        <v>1.00000019</v>
      </c>
      <c r="N113" s="177"/>
      <c r="O113" s="450"/>
      <c r="P113" s="450"/>
      <c r="Q113" s="450"/>
      <c r="R113" s="450"/>
      <c r="S113" s="450"/>
      <c r="T113" s="450"/>
      <c r="U113" s="450"/>
      <c r="V113" s="450"/>
      <c r="W113" s="450"/>
      <c r="X113" s="450"/>
      <c r="Y113" s="450"/>
      <c r="Z113" s="450"/>
      <c r="AA113" s="450"/>
      <c r="AB113" s="450"/>
      <c r="AC113" s="450"/>
      <c r="AD113" s="450"/>
      <c r="AE113" s="450"/>
      <c r="AF113" s="450"/>
      <c r="AG113" s="450"/>
      <c r="AH113" s="450"/>
      <c r="AI113" s="450"/>
      <c r="AJ113" s="450"/>
      <c r="AM113" s="206"/>
      <c r="AN113" s="206"/>
      <c r="AO113" s="206"/>
      <c r="AP113" s="206"/>
      <c r="AQ113" s="206"/>
      <c r="AR113" s="206"/>
      <c r="AS113" s="206"/>
    </row>
    <row r="114" spans="1:45">
      <c r="A114" s="405"/>
      <c r="B114" s="416" t="str">
        <f t="shared" si="82"/>
        <v>Gesloten schroefpomp FFI</v>
      </c>
      <c r="C114" s="264">
        <v>3</v>
      </c>
      <c r="D114" s="265">
        <f t="shared" si="80"/>
        <v>1.0000001599999999</v>
      </c>
      <c r="E114" s="258" t="str">
        <f t="shared" si="83"/>
        <v>Gesloten schroefpomp FFI</v>
      </c>
      <c r="F114" s="258"/>
      <c r="G114" s="258"/>
      <c r="H114" s="258"/>
      <c r="I114" s="258" t="str">
        <f t="shared" si="81"/>
        <v>Axiaal</v>
      </c>
      <c r="J114" s="268">
        <f t="shared" si="84"/>
        <v>1.0000001599999999</v>
      </c>
      <c r="N114" s="177"/>
      <c r="O114" s="450"/>
      <c r="P114" s="450"/>
      <c r="Q114" s="450"/>
      <c r="R114" s="450"/>
      <c r="S114" s="450"/>
      <c r="T114" s="450"/>
      <c r="U114" s="450"/>
      <c r="V114" s="450"/>
      <c r="W114" s="450"/>
      <c r="X114" s="450"/>
      <c r="Y114" s="450"/>
      <c r="Z114" s="450"/>
      <c r="AA114" s="450"/>
      <c r="AB114" s="450"/>
      <c r="AC114" s="450"/>
      <c r="AD114" s="450"/>
      <c r="AE114" s="450"/>
      <c r="AF114" s="450"/>
      <c r="AG114" s="450"/>
      <c r="AH114" s="450"/>
      <c r="AI114" s="450"/>
      <c r="AJ114" s="450"/>
      <c r="AM114" s="206"/>
      <c r="AN114" s="206"/>
      <c r="AO114" s="206"/>
      <c r="AP114" s="206"/>
      <c r="AQ114" s="206"/>
      <c r="AR114" s="206"/>
      <c r="AS114" s="206"/>
    </row>
    <row r="115" spans="1:45">
      <c r="A115" s="405"/>
      <c r="B115" s="416" t="str">
        <f t="shared" si="82"/>
        <v>Visvriendelijke Hidrostal</v>
      </c>
      <c r="C115" s="264">
        <v>4</v>
      </c>
      <c r="D115" s="265">
        <f t="shared" si="80"/>
        <v>1.0000001000000001</v>
      </c>
      <c r="E115" s="258" t="str">
        <f t="shared" si="83"/>
        <v>Visvriendelijke Hidrostal</v>
      </c>
      <c r="F115" s="258"/>
      <c r="G115" s="258"/>
      <c r="H115" s="258"/>
      <c r="I115" s="258" t="str">
        <f t="shared" si="81"/>
        <v>Half-axiaal</v>
      </c>
      <c r="J115" s="268">
        <f t="shared" si="84"/>
        <v>1.0000001000000001</v>
      </c>
      <c r="N115" s="177"/>
      <c r="O115" s="450"/>
      <c r="P115" s="450"/>
      <c r="Q115" s="450"/>
      <c r="R115" s="450"/>
      <c r="S115" s="450"/>
      <c r="T115" s="450"/>
      <c r="U115" s="450"/>
      <c r="V115" s="450"/>
      <c r="W115" s="450"/>
      <c r="X115" s="450"/>
      <c r="Y115" s="450"/>
      <c r="Z115" s="450"/>
      <c r="AA115" s="450"/>
      <c r="AB115" s="450"/>
      <c r="AC115" s="450"/>
      <c r="AD115" s="450"/>
      <c r="AE115" s="450"/>
      <c r="AF115" s="450"/>
      <c r="AG115" s="450"/>
      <c r="AH115" s="450"/>
      <c r="AI115" s="450"/>
      <c r="AJ115" s="450"/>
      <c r="AM115" s="206"/>
      <c r="AN115" s="206"/>
      <c r="AO115" s="206"/>
      <c r="AP115" s="206"/>
      <c r="AQ115" s="206"/>
      <c r="AR115" s="206"/>
      <c r="AS115" s="206"/>
    </row>
    <row r="116" spans="1:45">
      <c r="A116" s="405"/>
      <c r="B116" s="416" t="str">
        <f t="shared" si="82"/>
        <v>Amarex KRT</v>
      </c>
      <c r="C116" s="264">
        <v>5</v>
      </c>
      <c r="D116" s="265">
        <f t="shared" si="80"/>
        <v>1.0000000600000001</v>
      </c>
      <c r="E116" s="258" t="str">
        <f t="shared" si="83"/>
        <v>Amarex KRT</v>
      </c>
      <c r="F116" s="258"/>
      <c r="G116" s="258"/>
      <c r="H116" s="258"/>
      <c r="I116" s="258" t="str">
        <f t="shared" si="81"/>
        <v>Half-axiaal</v>
      </c>
      <c r="J116" s="268">
        <f t="shared" si="84"/>
        <v>1.0000000600000001</v>
      </c>
      <c r="N116" s="177"/>
      <c r="O116" s="450"/>
      <c r="P116" s="450"/>
      <c r="Q116" s="450"/>
      <c r="R116" s="450"/>
      <c r="S116" s="450"/>
      <c r="T116" s="450"/>
      <c r="U116" s="450"/>
      <c r="V116" s="450"/>
      <c r="W116" s="450"/>
      <c r="X116" s="450"/>
      <c r="Y116" s="450"/>
      <c r="Z116" s="450"/>
      <c r="AA116" s="450"/>
      <c r="AB116" s="450"/>
      <c r="AC116" s="450"/>
      <c r="AD116" s="450"/>
      <c r="AE116" s="450"/>
      <c r="AF116" s="450"/>
      <c r="AG116" s="450"/>
      <c r="AH116" s="450"/>
      <c r="AI116" s="450"/>
      <c r="AJ116" s="450"/>
      <c r="AM116" s="206"/>
      <c r="AN116" s="206"/>
      <c r="AO116" s="206"/>
      <c r="AP116" s="206"/>
      <c r="AQ116" s="206"/>
      <c r="AR116" s="206"/>
      <c r="AS116" s="206"/>
    </row>
    <row r="117" spans="1:45">
      <c r="A117" s="405"/>
      <c r="B117" s="416" t="str">
        <f t="shared" si="82"/>
        <v>Turbinevijzels</v>
      </c>
      <c r="C117" s="264">
        <v>6</v>
      </c>
      <c r="D117" s="265">
        <f t="shared" si="80"/>
        <v>1.00000004</v>
      </c>
      <c r="E117" s="258" t="str">
        <f t="shared" si="83"/>
        <v>Turbinevijzels</v>
      </c>
      <c r="F117" s="258"/>
      <c r="G117" s="258"/>
      <c r="H117" s="258"/>
      <c r="I117" s="258" t="str">
        <f t="shared" si="81"/>
        <v>Turbinevijzel</v>
      </c>
      <c r="J117" s="268">
        <f t="shared" si="84"/>
        <v>1.00000004</v>
      </c>
      <c r="N117" s="177"/>
      <c r="O117" s="450"/>
      <c r="P117" s="450"/>
      <c r="Q117" s="450"/>
      <c r="R117" s="450"/>
      <c r="S117" s="450"/>
      <c r="T117" s="450"/>
      <c r="U117" s="450"/>
      <c r="V117" s="450"/>
      <c r="W117" s="450"/>
      <c r="X117" s="450"/>
      <c r="Y117" s="450"/>
      <c r="Z117" s="450"/>
      <c r="AA117" s="450"/>
      <c r="AB117" s="450"/>
      <c r="AC117" s="450"/>
      <c r="AD117" s="450"/>
      <c r="AE117" s="450"/>
      <c r="AF117" s="450"/>
      <c r="AG117" s="450"/>
      <c r="AH117" s="450"/>
      <c r="AI117" s="450"/>
      <c r="AJ117" s="450"/>
      <c r="AM117" s="206"/>
      <c r="AN117" s="206"/>
      <c r="AO117" s="206"/>
      <c r="AP117" s="206"/>
      <c r="AQ117" s="206"/>
      <c r="AR117" s="206"/>
      <c r="AS117" s="206"/>
    </row>
    <row r="118" spans="1:45">
      <c r="A118" s="405"/>
      <c r="B118" s="416" t="str">
        <f t="shared" si="82"/>
        <v>Vijzel (Spaans Babcock)</v>
      </c>
      <c r="C118" s="264">
        <v>7</v>
      </c>
      <c r="D118" s="265">
        <f t="shared" si="80"/>
        <v>1</v>
      </c>
      <c r="E118" s="258" t="str">
        <f t="shared" si="83"/>
        <v>Vijzel (Spaans Babcock)</v>
      </c>
      <c r="F118" s="258"/>
      <c r="G118" s="258"/>
      <c r="H118" s="258"/>
      <c r="I118" s="258" t="str">
        <f t="shared" si="81"/>
        <v>Vijzel</v>
      </c>
      <c r="J118" s="268">
        <f t="shared" si="84"/>
        <v>1</v>
      </c>
      <c r="N118" s="177"/>
      <c r="O118" s="450"/>
      <c r="P118" s="450"/>
      <c r="Q118" s="450"/>
      <c r="R118" s="450"/>
      <c r="S118" s="450"/>
      <c r="T118" s="450"/>
      <c r="U118" s="450"/>
      <c r="V118" s="450"/>
      <c r="W118" s="450"/>
      <c r="X118" s="450"/>
      <c r="Y118" s="450"/>
      <c r="Z118" s="450"/>
      <c r="AA118" s="450"/>
      <c r="AB118" s="450"/>
      <c r="AC118" s="450"/>
      <c r="AD118" s="450"/>
      <c r="AE118" s="450"/>
      <c r="AF118" s="450"/>
      <c r="AG118" s="450"/>
      <c r="AH118" s="450"/>
      <c r="AI118" s="450"/>
      <c r="AJ118" s="450"/>
      <c r="AM118" s="206"/>
      <c r="AN118" s="206"/>
      <c r="AO118" s="206"/>
      <c r="AP118" s="206"/>
      <c r="AQ118" s="206"/>
      <c r="AR118" s="206"/>
      <c r="AS118" s="206"/>
    </row>
    <row r="119" spans="1:45">
      <c r="A119" s="405"/>
      <c r="B119" s="416" t="str">
        <f t="shared" si="82"/>
        <v>De Wit vijzel</v>
      </c>
      <c r="C119" s="264">
        <v>8</v>
      </c>
      <c r="D119" s="265">
        <f>IF(ISNUMBER(LARGE($O$81:$O$103,C119)),LARGE($O$81:$O$103,C119),"")</f>
        <v>0.99666667666666664</v>
      </c>
      <c r="E119" s="258" t="str">
        <f>IF(ISNUMBER(D119),(VLOOKUP(D119,$H$81:$N$103,7,FALSE)),"")</f>
        <v>De Wit vijzel</v>
      </c>
      <c r="F119" s="258"/>
      <c r="G119" s="258"/>
      <c r="H119" s="258"/>
      <c r="I119" s="258" t="str">
        <f t="shared" si="81"/>
        <v>Vijzel</v>
      </c>
      <c r="J119" s="268">
        <f t="shared" si="84"/>
        <v>0.99666667666666664</v>
      </c>
      <c r="N119" s="177"/>
      <c r="O119" s="450"/>
      <c r="P119" s="450"/>
      <c r="Q119" s="450"/>
      <c r="R119" s="450"/>
      <c r="S119" s="450"/>
      <c r="T119" s="450"/>
      <c r="U119" s="450"/>
      <c r="V119" s="450"/>
      <c r="W119" s="450"/>
      <c r="X119" s="450"/>
      <c r="Y119" s="450"/>
      <c r="Z119" s="450"/>
      <c r="AA119" s="450"/>
      <c r="AB119" s="450"/>
      <c r="AC119" s="450"/>
      <c r="AD119" s="450"/>
      <c r="AE119" s="450"/>
      <c r="AF119" s="450"/>
      <c r="AG119" s="450"/>
      <c r="AH119" s="450"/>
      <c r="AI119" s="450"/>
      <c r="AJ119" s="450"/>
    </row>
    <row r="120" spans="1:45">
      <c r="A120" s="405"/>
      <c r="B120" s="416" t="str">
        <f t="shared" si="82"/>
        <v>Buisvijzel FFI</v>
      </c>
      <c r="C120" s="264">
        <v>9</v>
      </c>
      <c r="D120" s="265">
        <f t="shared" si="80"/>
        <v>0.99333335333333328</v>
      </c>
      <c r="E120" s="258" t="str">
        <f t="shared" si="83"/>
        <v>Buisvijzel FFI</v>
      </c>
      <c r="F120" s="258"/>
      <c r="G120" s="258"/>
      <c r="H120" s="258"/>
      <c r="I120" s="258" t="str">
        <f t="shared" si="81"/>
        <v>Vijzel</v>
      </c>
      <c r="J120" s="268">
        <f t="shared" si="84"/>
        <v>0.99333335333333328</v>
      </c>
      <c r="N120" s="177"/>
      <c r="O120" s="450"/>
      <c r="P120" s="450"/>
      <c r="Q120" s="450"/>
      <c r="R120" s="450"/>
      <c r="S120" s="450"/>
      <c r="T120" s="450"/>
      <c r="U120" s="450"/>
      <c r="V120" s="450"/>
      <c r="W120" s="450"/>
      <c r="X120" s="450"/>
      <c r="Y120" s="450"/>
      <c r="Z120" s="450"/>
      <c r="AA120" s="450"/>
      <c r="AB120" s="450"/>
      <c r="AC120" s="450"/>
      <c r="AD120" s="450"/>
      <c r="AE120" s="450"/>
      <c r="AF120" s="450"/>
      <c r="AG120" s="450"/>
      <c r="AH120" s="450"/>
      <c r="AI120" s="450"/>
      <c r="AJ120" s="450"/>
    </row>
    <row r="121" spans="1:45">
      <c r="A121" s="405"/>
      <c r="B121" s="416" t="str">
        <f t="shared" si="82"/>
        <v>Vijzel (Landustrie)</v>
      </c>
      <c r="C121" s="264">
        <v>10</v>
      </c>
      <c r="D121" s="265">
        <f t="shared" si="80"/>
        <v>0.98499999999999999</v>
      </c>
      <c r="E121" s="258" t="str">
        <f t="shared" si="83"/>
        <v>Vijzel (Landustrie)</v>
      </c>
      <c r="F121" s="258"/>
      <c r="G121" s="258"/>
      <c r="H121" s="258"/>
      <c r="I121" s="258" t="str">
        <f t="shared" si="81"/>
        <v>Vijzel</v>
      </c>
      <c r="J121" s="268">
        <f t="shared" si="84"/>
        <v>0.98499999999999999</v>
      </c>
      <c r="N121" s="177"/>
      <c r="O121" s="450"/>
      <c r="P121" s="450"/>
      <c r="Q121" s="450"/>
      <c r="R121" s="450"/>
      <c r="S121" s="450"/>
      <c r="T121" s="450"/>
      <c r="U121" s="450"/>
      <c r="V121" s="450"/>
      <c r="W121" s="450"/>
      <c r="X121" s="450"/>
      <c r="Y121" s="450"/>
      <c r="Z121" s="450"/>
      <c r="AA121" s="450"/>
      <c r="AB121" s="450"/>
      <c r="AC121" s="450"/>
      <c r="AD121" s="450"/>
      <c r="AE121" s="450"/>
      <c r="AF121" s="450"/>
      <c r="AG121" s="450"/>
      <c r="AH121" s="450"/>
      <c r="AI121" s="450"/>
      <c r="AJ121" s="450"/>
    </row>
    <row r="122" spans="1:45">
      <c r="A122" s="405"/>
      <c r="B122" s="416" t="str">
        <f t="shared" si="82"/>
        <v>Nijhuis Bulbpomp</v>
      </c>
      <c r="C122" s="264">
        <v>11</v>
      </c>
      <c r="D122" s="265">
        <f t="shared" si="80"/>
        <v>0.97000012000000002</v>
      </c>
      <c r="E122" s="258" t="str">
        <f t="shared" si="83"/>
        <v>Nijhuis Bulbpomp</v>
      </c>
      <c r="F122" s="258"/>
      <c r="G122" s="258"/>
      <c r="H122" s="258"/>
      <c r="I122" s="258" t="str">
        <f t="shared" si="81"/>
        <v>Axiaal</v>
      </c>
      <c r="J122" s="268">
        <f t="shared" si="84"/>
        <v>0.97000012000000002</v>
      </c>
      <c r="N122" s="177"/>
      <c r="O122" s="450"/>
      <c r="P122" s="450"/>
      <c r="Q122" s="450"/>
      <c r="R122" s="450"/>
      <c r="S122" s="450"/>
      <c r="T122" s="450"/>
      <c r="U122" s="450"/>
      <c r="V122" s="450"/>
      <c r="W122" s="450"/>
      <c r="X122" s="450"/>
      <c r="Y122" s="450"/>
      <c r="Z122" s="450"/>
      <c r="AA122" s="450"/>
      <c r="AB122" s="450"/>
      <c r="AC122" s="450"/>
      <c r="AD122" s="450"/>
      <c r="AE122" s="450"/>
      <c r="AF122" s="450"/>
      <c r="AG122" s="450"/>
      <c r="AH122" s="450"/>
      <c r="AI122" s="450"/>
      <c r="AJ122" s="450"/>
    </row>
    <row r="123" spans="1:45">
      <c r="A123" s="405"/>
      <c r="B123" s="416" t="str">
        <f t="shared" si="82"/>
        <v>Hidrostal</v>
      </c>
      <c r="C123" s="264">
        <v>12</v>
      </c>
      <c r="D123" s="265">
        <f t="shared" si="80"/>
        <v>0.95416674666666668</v>
      </c>
      <c r="E123" s="258" t="str">
        <f t="shared" si="83"/>
        <v>Hidrostal</v>
      </c>
      <c r="F123" s="258"/>
      <c r="G123" s="258"/>
      <c r="H123" s="258"/>
      <c r="I123" s="258" t="str">
        <f t="shared" si="81"/>
        <v>Half-axiaal</v>
      </c>
      <c r="J123" s="268">
        <f t="shared" si="84"/>
        <v>0.95416674666666668</v>
      </c>
      <c r="N123" s="177"/>
      <c r="O123" s="450"/>
      <c r="P123" s="450"/>
      <c r="Q123" s="450"/>
      <c r="R123" s="450"/>
      <c r="S123" s="450"/>
      <c r="T123" s="450"/>
      <c r="U123" s="450"/>
      <c r="V123" s="450"/>
      <c r="W123" s="450"/>
      <c r="X123" s="450"/>
      <c r="Y123" s="450"/>
      <c r="Z123" s="450"/>
      <c r="AA123" s="450"/>
      <c r="AB123" s="450"/>
      <c r="AC123" s="450"/>
      <c r="AD123" s="450"/>
      <c r="AE123" s="450"/>
      <c r="AF123" s="450"/>
      <c r="AG123" s="450"/>
      <c r="AH123" s="450"/>
      <c r="AI123" s="450"/>
      <c r="AJ123" s="450"/>
    </row>
    <row r="124" spans="1:45">
      <c r="A124" s="405"/>
      <c r="B124" s="416" t="str">
        <f t="shared" si="82"/>
        <v>Centrifugaalpomp</v>
      </c>
      <c r="C124" s="264">
        <v>13</v>
      </c>
      <c r="D124" s="265">
        <f t="shared" si="80"/>
        <v>0.95272732272727267</v>
      </c>
      <c r="E124" s="258" t="str">
        <f t="shared" si="83"/>
        <v>Centrifugaalpomp</v>
      </c>
      <c r="F124" s="258"/>
      <c r="G124" s="258"/>
      <c r="H124" s="258"/>
      <c r="I124" s="258" t="str">
        <f t="shared" si="81"/>
        <v>Radiaal</v>
      </c>
      <c r="J124" s="268">
        <f t="shared" si="84"/>
        <v>0.95272732272727267</v>
      </c>
      <c r="N124" s="177"/>
      <c r="O124" s="450"/>
      <c r="P124" s="450"/>
      <c r="Q124" s="450"/>
      <c r="R124" s="450"/>
      <c r="S124" s="450"/>
      <c r="T124" s="450"/>
      <c r="U124" s="450"/>
      <c r="V124" s="450"/>
      <c r="W124" s="450"/>
      <c r="X124" s="450"/>
      <c r="Y124" s="450"/>
      <c r="Z124" s="450"/>
      <c r="AA124" s="450"/>
      <c r="AB124" s="450"/>
      <c r="AC124" s="450"/>
      <c r="AD124" s="450"/>
      <c r="AE124" s="450"/>
      <c r="AF124" s="450"/>
      <c r="AG124" s="450"/>
      <c r="AH124" s="450"/>
      <c r="AI124" s="450"/>
      <c r="AJ124" s="450"/>
    </row>
    <row r="125" spans="1:45">
      <c r="A125" s="405"/>
      <c r="B125" s="416" t="str">
        <f t="shared" si="82"/>
        <v>Horizontale schroefpomp (kattenrug)</v>
      </c>
      <c r="C125" s="264">
        <v>14</v>
      </c>
      <c r="D125" s="265">
        <f t="shared" si="80"/>
        <v>0.95</v>
      </c>
      <c r="E125" s="258" t="str">
        <f t="shared" si="83"/>
        <v>Horizontale schroefpomp (kattenrug)</v>
      </c>
      <c r="F125" s="258"/>
      <c r="G125" s="258"/>
      <c r="H125" s="258"/>
      <c r="I125" s="258" t="str">
        <f t="shared" si="81"/>
        <v>Axiaal</v>
      </c>
      <c r="J125" s="268">
        <f t="shared" si="84"/>
        <v>0.95</v>
      </c>
      <c r="N125" s="177"/>
      <c r="O125" s="450"/>
      <c r="P125" s="450"/>
      <c r="Q125" s="450"/>
      <c r="R125" s="450"/>
      <c r="S125" s="450"/>
      <c r="T125" s="450"/>
      <c r="U125" s="450"/>
      <c r="V125" s="450"/>
      <c r="W125" s="450"/>
      <c r="X125" s="450"/>
      <c r="Y125" s="450"/>
      <c r="Z125" s="450"/>
      <c r="AA125" s="450"/>
      <c r="AB125" s="450"/>
      <c r="AC125" s="450"/>
      <c r="AD125" s="450"/>
      <c r="AE125" s="450"/>
      <c r="AF125" s="450"/>
      <c r="AG125" s="450"/>
      <c r="AH125" s="450"/>
      <c r="AI125" s="450"/>
      <c r="AJ125" s="450"/>
    </row>
    <row r="126" spans="1:45">
      <c r="A126" s="405"/>
      <c r="B126" s="416" t="str">
        <f t="shared" si="82"/>
        <v>Vijzel</v>
      </c>
      <c r="C126" s="264">
        <v>15</v>
      </c>
      <c r="D126" s="265">
        <f t="shared" si="80"/>
        <v>0.94230772230769233</v>
      </c>
      <c r="E126" s="258" t="str">
        <f t="shared" si="83"/>
        <v>Vijzel</v>
      </c>
      <c r="F126" s="258"/>
      <c r="G126" s="258"/>
      <c r="H126" s="258"/>
      <c r="I126" s="258" t="str">
        <f t="shared" si="81"/>
        <v>Vijzel</v>
      </c>
      <c r="J126" s="268">
        <f t="shared" si="84"/>
        <v>0.94230772230769233</v>
      </c>
      <c r="N126" s="177"/>
      <c r="O126" s="450"/>
      <c r="P126" s="450"/>
      <c r="Q126" s="450"/>
      <c r="R126" s="450"/>
      <c r="S126" s="450"/>
      <c r="T126" s="450"/>
      <c r="U126" s="450"/>
      <c r="V126" s="450"/>
      <c r="W126" s="450"/>
      <c r="X126" s="450"/>
      <c r="Y126" s="450"/>
      <c r="Z126" s="450"/>
      <c r="AA126" s="450"/>
      <c r="AB126" s="450"/>
      <c r="AC126" s="450"/>
      <c r="AD126" s="450"/>
      <c r="AE126" s="450"/>
      <c r="AF126" s="450"/>
      <c r="AG126" s="450"/>
      <c r="AH126" s="450"/>
      <c r="AI126" s="450"/>
      <c r="AJ126" s="450"/>
    </row>
    <row r="127" spans="1:45">
      <c r="A127" s="405"/>
      <c r="B127" s="416" t="str">
        <f t="shared" si="82"/>
        <v>VOPO met stroomomdraaiing</v>
      </c>
      <c r="C127" s="264">
        <v>16</v>
      </c>
      <c r="D127" s="265">
        <f t="shared" si="80"/>
        <v>0.94000011000000006</v>
      </c>
      <c r="E127" s="258" t="str">
        <f t="shared" si="83"/>
        <v>VOPO met stroomomdraaiing</v>
      </c>
      <c r="F127" s="258"/>
      <c r="G127" s="258"/>
      <c r="H127" s="258"/>
      <c r="I127" s="258" t="str">
        <f t="shared" si="81"/>
        <v>Half-axiaal</v>
      </c>
      <c r="J127" s="268">
        <f t="shared" si="84"/>
        <v>0.94000011000000006</v>
      </c>
      <c r="N127" s="177"/>
      <c r="O127" s="450"/>
      <c r="P127" s="450"/>
      <c r="Q127" s="450"/>
      <c r="R127" s="450"/>
      <c r="S127" s="450"/>
      <c r="T127" s="450"/>
      <c r="U127" s="450"/>
      <c r="V127" s="450"/>
      <c r="W127" s="450"/>
      <c r="X127" s="450"/>
      <c r="Y127" s="450"/>
      <c r="Z127" s="450"/>
      <c r="AA127" s="450"/>
      <c r="AB127" s="450"/>
      <c r="AC127" s="450"/>
      <c r="AD127" s="450"/>
      <c r="AE127" s="450"/>
      <c r="AF127" s="450"/>
      <c r="AG127" s="450"/>
      <c r="AH127" s="450"/>
      <c r="AI127" s="450"/>
      <c r="AJ127" s="450"/>
    </row>
    <row r="128" spans="1:45">
      <c r="A128" s="405"/>
      <c r="B128" s="416" t="str">
        <f t="shared" si="82"/>
        <v>half-axiaal pomp</v>
      </c>
      <c r="C128" s="264">
        <v>17</v>
      </c>
      <c r="D128" s="265">
        <f t="shared" si="80"/>
        <v>0.92833342333333335</v>
      </c>
      <c r="E128" s="258" t="str">
        <f t="shared" si="83"/>
        <v>half-axiaal pomp</v>
      </c>
      <c r="F128" s="258"/>
      <c r="G128" s="258"/>
      <c r="H128" s="258"/>
      <c r="I128" s="258" t="str">
        <f t="shared" si="81"/>
        <v>Half-axiaal</v>
      </c>
      <c r="J128" s="268">
        <f t="shared" si="84"/>
        <v>0.92833342333333335</v>
      </c>
      <c r="N128" s="177"/>
      <c r="O128" s="450"/>
      <c r="P128" s="450"/>
      <c r="Q128" s="450"/>
      <c r="R128" s="450"/>
      <c r="S128" s="450"/>
      <c r="T128" s="450"/>
      <c r="U128" s="450"/>
      <c r="V128" s="450"/>
      <c r="W128" s="450"/>
      <c r="X128" s="450"/>
      <c r="Y128" s="450"/>
      <c r="Z128" s="450"/>
      <c r="AA128" s="450"/>
      <c r="AB128" s="450"/>
      <c r="AC128" s="450"/>
      <c r="AD128" s="450"/>
      <c r="AE128" s="450"/>
      <c r="AF128" s="450"/>
      <c r="AG128" s="450"/>
      <c r="AH128" s="450"/>
      <c r="AI128" s="450"/>
      <c r="AJ128" s="450"/>
    </row>
    <row r="129" spans="1:36">
      <c r="A129" s="405"/>
      <c r="B129" s="416" t="str">
        <f t="shared" si="82"/>
        <v>Gesloten schroefpomp</v>
      </c>
      <c r="C129" s="264">
        <v>18</v>
      </c>
      <c r="D129" s="265">
        <f t="shared" si="80"/>
        <v>0.86500015000000008</v>
      </c>
      <c r="E129" s="258" t="str">
        <f t="shared" si="83"/>
        <v>Gesloten schroefpomp</v>
      </c>
      <c r="F129" s="258"/>
      <c r="G129" s="258"/>
      <c r="H129" s="258"/>
      <c r="I129" s="258" t="str">
        <f t="shared" si="81"/>
        <v>Axiaal</v>
      </c>
      <c r="J129" s="268">
        <f t="shared" si="84"/>
        <v>0.86500015000000008</v>
      </c>
      <c r="N129" s="177"/>
      <c r="O129" s="450"/>
      <c r="P129" s="450"/>
      <c r="Q129" s="450"/>
      <c r="R129" s="450"/>
      <c r="S129" s="450"/>
      <c r="T129" s="450"/>
      <c r="U129" s="450"/>
      <c r="V129" s="450"/>
      <c r="W129" s="450"/>
      <c r="X129" s="450"/>
      <c r="Y129" s="450"/>
      <c r="Z129" s="450"/>
      <c r="AA129" s="450"/>
      <c r="AB129" s="450"/>
      <c r="AC129" s="450"/>
      <c r="AD129" s="450"/>
      <c r="AE129" s="450"/>
      <c r="AF129" s="450"/>
      <c r="AG129" s="450"/>
      <c r="AH129" s="450"/>
      <c r="AI129" s="450"/>
      <c r="AJ129" s="450"/>
    </row>
    <row r="130" spans="1:36">
      <c r="A130" s="405"/>
      <c r="B130" s="416" t="str">
        <f t="shared" si="82"/>
        <v>BEVERON</v>
      </c>
      <c r="C130" s="264">
        <v>19</v>
      </c>
      <c r="D130" s="265">
        <f t="shared" si="80"/>
        <v>0.85500007</v>
      </c>
      <c r="E130" s="258" t="str">
        <f t="shared" si="83"/>
        <v>BEVERON</v>
      </c>
      <c r="F130" s="258"/>
      <c r="G130" s="258"/>
      <c r="H130" s="258"/>
      <c r="I130" s="258" t="str">
        <f t="shared" si="81"/>
        <v>Half-axiaal</v>
      </c>
      <c r="J130" s="268">
        <f t="shared" si="84"/>
        <v>0.85500007</v>
      </c>
      <c r="N130" s="177"/>
      <c r="O130" s="450"/>
      <c r="P130" s="450"/>
      <c r="Q130" s="450"/>
      <c r="R130" s="450"/>
      <c r="S130" s="450"/>
      <c r="T130" s="450"/>
      <c r="U130" s="450"/>
      <c r="V130" s="450"/>
      <c r="W130" s="450"/>
      <c r="X130" s="450"/>
      <c r="Y130" s="450"/>
      <c r="Z130" s="450"/>
      <c r="AA130" s="450"/>
      <c r="AB130" s="450"/>
      <c r="AC130" s="450"/>
      <c r="AD130" s="450"/>
      <c r="AE130" s="450"/>
      <c r="AF130" s="450"/>
      <c r="AG130" s="450"/>
      <c r="AH130" s="450"/>
      <c r="AI130" s="450"/>
      <c r="AJ130" s="450"/>
    </row>
    <row r="131" spans="1:36">
      <c r="A131" s="405"/>
      <c r="B131" s="416" t="str">
        <f t="shared" si="82"/>
        <v>Schroefpomp</v>
      </c>
      <c r="C131" s="264">
        <v>20</v>
      </c>
      <c r="D131" s="265">
        <f>IF(ISNUMBER(LARGE($O$81:$O$103,C131)),LARGE($O$81:$O$103,C131),"")</f>
        <v>0.80800017999999996</v>
      </c>
      <c r="E131" s="258" t="str">
        <f t="shared" si="83"/>
        <v>Schroefpomp</v>
      </c>
      <c r="F131" s="258"/>
      <c r="G131" s="258"/>
      <c r="H131" s="258"/>
      <c r="I131" s="258" t="str">
        <f>IF(ISNUMBER(D131),(VLOOKUP(E131,$C$81:$D$104,2,FALSE)),"")</f>
        <v>Axiaal</v>
      </c>
      <c r="J131" s="268">
        <f t="shared" si="84"/>
        <v>0.80800017999999996</v>
      </c>
      <c r="O131" s="450"/>
      <c r="P131" s="451"/>
      <c r="Q131" s="450"/>
      <c r="R131" s="450"/>
      <c r="S131" s="450"/>
      <c r="T131" s="450"/>
      <c r="U131" s="450"/>
      <c r="V131" s="450"/>
      <c r="W131" s="450"/>
      <c r="X131" s="450"/>
      <c r="Y131" s="450"/>
      <c r="Z131" s="450"/>
      <c r="AA131" s="450"/>
      <c r="AB131" s="450"/>
      <c r="AC131" s="450"/>
      <c r="AD131" s="450"/>
      <c r="AE131" s="450"/>
      <c r="AF131" s="450"/>
      <c r="AG131" s="450"/>
      <c r="AH131" s="450"/>
      <c r="AI131" s="450"/>
      <c r="AJ131" s="450"/>
    </row>
    <row r="132" spans="1:36">
      <c r="D132" s="204" t="s">
        <v>299</v>
      </c>
      <c r="J132" s="269"/>
      <c r="O132" s="450"/>
      <c r="P132" s="451"/>
      <c r="Q132" s="450"/>
      <c r="R132" s="450"/>
      <c r="S132" s="450"/>
      <c r="T132" s="450"/>
      <c r="U132" s="450"/>
      <c r="V132" s="450"/>
      <c r="W132" s="450"/>
      <c r="X132" s="450"/>
      <c r="Y132" s="450"/>
      <c r="Z132" s="450"/>
      <c r="AA132" s="450"/>
      <c r="AB132" s="450"/>
      <c r="AC132" s="450"/>
      <c r="AD132" s="450"/>
      <c r="AE132" s="450"/>
      <c r="AF132" s="450"/>
      <c r="AG132" s="450"/>
      <c r="AH132" s="450"/>
      <c r="AI132" s="450"/>
      <c r="AJ132" s="450"/>
    </row>
    <row r="133" spans="1:36">
      <c r="O133" s="450"/>
      <c r="P133" s="450"/>
      <c r="Q133" s="450"/>
      <c r="R133" s="450"/>
      <c r="S133" s="450"/>
      <c r="T133" s="450"/>
      <c r="U133" s="450"/>
      <c r="V133" s="450"/>
      <c r="W133" s="450"/>
      <c r="X133" s="450"/>
      <c r="Y133" s="450"/>
      <c r="Z133" s="450"/>
      <c r="AA133" s="450"/>
      <c r="AB133" s="450"/>
      <c r="AC133" s="450"/>
      <c r="AD133" s="450"/>
      <c r="AE133" s="450"/>
      <c r="AF133" s="450"/>
      <c r="AG133" s="450"/>
      <c r="AH133" s="450"/>
      <c r="AI133" s="450"/>
      <c r="AJ133" s="450"/>
    </row>
    <row r="134" spans="1:36">
      <c r="O134" s="450"/>
      <c r="P134" s="450"/>
      <c r="Q134" s="450"/>
      <c r="R134" s="450"/>
      <c r="S134" s="450"/>
      <c r="T134" s="450"/>
      <c r="U134" s="450"/>
      <c r="V134" s="450"/>
      <c r="W134" s="450"/>
      <c r="X134" s="450"/>
      <c r="Y134" s="450"/>
      <c r="Z134" s="450"/>
      <c r="AA134" s="450"/>
      <c r="AB134" s="450"/>
      <c r="AC134" s="450"/>
      <c r="AD134" s="450"/>
      <c r="AE134" s="450"/>
      <c r="AF134" s="450"/>
      <c r="AG134" s="450"/>
      <c r="AH134" s="450"/>
      <c r="AI134" s="450"/>
      <c r="AJ134" s="450"/>
    </row>
    <row r="135" spans="1:36">
      <c r="O135" s="450"/>
      <c r="P135" s="450"/>
      <c r="Q135" s="450"/>
      <c r="R135" s="450"/>
      <c r="S135" s="450"/>
      <c r="T135" s="450"/>
      <c r="U135" s="450"/>
      <c r="V135" s="450"/>
      <c r="W135" s="450"/>
      <c r="X135" s="450"/>
      <c r="Y135" s="450"/>
      <c r="Z135" s="450"/>
      <c r="AA135" s="450"/>
      <c r="AB135" s="450"/>
      <c r="AC135" s="450"/>
      <c r="AD135" s="450"/>
      <c r="AE135" s="450"/>
      <c r="AF135" s="450"/>
      <c r="AG135" s="450"/>
      <c r="AH135" s="450"/>
      <c r="AI135" s="450"/>
      <c r="AJ135" s="450"/>
    </row>
    <row r="136" spans="1:36">
      <c r="O136" s="450"/>
      <c r="P136" s="450"/>
      <c r="Q136" s="450"/>
      <c r="R136" s="450"/>
      <c r="S136" s="450"/>
      <c r="T136" s="450"/>
      <c r="U136" s="450"/>
      <c r="V136" s="450"/>
      <c r="W136" s="450"/>
      <c r="X136" s="450"/>
      <c r="Y136" s="450"/>
      <c r="Z136" s="450"/>
      <c r="AA136" s="450"/>
      <c r="AB136" s="450"/>
      <c r="AC136" s="450"/>
      <c r="AD136" s="450"/>
      <c r="AE136" s="450"/>
      <c r="AF136" s="450"/>
      <c r="AG136" s="450"/>
      <c r="AH136" s="450"/>
      <c r="AI136" s="450"/>
      <c r="AJ136" s="450"/>
    </row>
    <row r="137" spans="1:36">
      <c r="D137" s="206"/>
      <c r="E137" s="206"/>
      <c r="F137" s="206"/>
      <c r="G137" s="206"/>
      <c r="H137" s="206"/>
      <c r="O137" s="450"/>
      <c r="P137" s="450"/>
      <c r="Q137" s="450"/>
      <c r="R137" s="450"/>
      <c r="S137" s="450"/>
      <c r="T137" s="450"/>
      <c r="U137" s="450"/>
      <c r="V137" s="450"/>
      <c r="W137" s="450"/>
      <c r="X137" s="450"/>
      <c r="Y137" s="450"/>
      <c r="Z137" s="450"/>
      <c r="AA137" s="450"/>
      <c r="AB137" s="450"/>
      <c r="AC137" s="450"/>
      <c r="AD137" s="450"/>
      <c r="AE137" s="450"/>
      <c r="AF137" s="450"/>
      <c r="AG137" s="450"/>
      <c r="AH137" s="450"/>
      <c r="AI137" s="450"/>
      <c r="AJ137" s="450"/>
    </row>
    <row r="138" spans="1:36">
      <c r="D138" s="206"/>
      <c r="E138" s="206"/>
      <c r="F138" s="206"/>
      <c r="G138" s="206"/>
      <c r="H138" s="206"/>
      <c r="O138" s="450"/>
      <c r="P138" s="450"/>
      <c r="Q138" s="450"/>
      <c r="R138" s="450"/>
      <c r="S138" s="450"/>
      <c r="T138" s="450"/>
      <c r="U138" s="450"/>
      <c r="V138" s="450"/>
      <c r="W138" s="450"/>
      <c r="X138" s="450"/>
      <c r="Y138" s="450"/>
      <c r="Z138" s="450"/>
      <c r="AA138" s="450"/>
      <c r="AB138" s="450"/>
      <c r="AC138" s="450"/>
      <c r="AD138" s="450"/>
      <c r="AE138" s="450"/>
      <c r="AF138" s="450"/>
      <c r="AG138" s="450"/>
      <c r="AH138" s="450"/>
      <c r="AI138" s="450"/>
      <c r="AJ138" s="450"/>
    </row>
    <row r="139" spans="1:36">
      <c r="D139" s="206"/>
      <c r="E139" s="206" t="s">
        <v>24</v>
      </c>
      <c r="F139" s="206"/>
      <c r="G139" s="206"/>
      <c r="H139" s="206"/>
      <c r="O139" s="450"/>
      <c r="P139" s="450"/>
      <c r="Q139" s="450"/>
      <c r="R139" s="450"/>
      <c r="S139" s="450"/>
      <c r="T139" s="450"/>
      <c r="U139" s="450"/>
      <c r="V139" s="450"/>
      <c r="W139" s="450"/>
      <c r="X139" s="450"/>
      <c r="Y139" s="450"/>
      <c r="Z139" s="450"/>
      <c r="AA139" s="450"/>
      <c r="AB139" s="450"/>
      <c r="AC139" s="450"/>
      <c r="AD139" s="450"/>
      <c r="AE139" s="450"/>
      <c r="AF139" s="450"/>
      <c r="AG139" s="450"/>
      <c r="AH139" s="450"/>
      <c r="AI139" s="450"/>
      <c r="AJ139" s="450"/>
    </row>
    <row r="140" spans="1:36">
      <c r="D140" s="206"/>
      <c r="E140" s="206" t="s">
        <v>25</v>
      </c>
      <c r="F140" s="206"/>
      <c r="G140" s="206"/>
      <c r="H140" s="206"/>
      <c r="O140" s="450"/>
      <c r="P140" s="450"/>
      <c r="Q140" s="450"/>
      <c r="R140" s="450"/>
      <c r="S140" s="450"/>
      <c r="T140" s="450"/>
      <c r="U140" s="450"/>
      <c r="V140" s="450"/>
      <c r="W140" s="450"/>
      <c r="X140" s="450"/>
      <c r="Y140" s="450"/>
      <c r="Z140" s="450"/>
      <c r="AA140" s="450"/>
      <c r="AB140" s="450"/>
      <c r="AC140" s="450"/>
      <c r="AD140" s="450"/>
      <c r="AE140" s="450"/>
      <c r="AF140" s="450"/>
      <c r="AG140" s="450"/>
      <c r="AH140" s="450"/>
      <c r="AI140" s="450"/>
      <c r="AJ140" s="450"/>
    </row>
    <row r="141" spans="1:36">
      <c r="D141" s="206"/>
      <c r="E141" s="206" t="s">
        <v>26</v>
      </c>
      <c r="F141" s="206"/>
      <c r="G141" s="206"/>
      <c r="H141" s="206"/>
      <c r="O141" s="450"/>
      <c r="P141" s="450"/>
      <c r="Q141" s="450"/>
      <c r="R141" s="450"/>
      <c r="S141" s="450"/>
      <c r="T141" s="450"/>
      <c r="U141" s="450"/>
      <c r="V141" s="450"/>
      <c r="W141" s="450"/>
      <c r="X141" s="450"/>
      <c r="Y141" s="450"/>
      <c r="Z141" s="450"/>
      <c r="AA141" s="450"/>
      <c r="AB141" s="450"/>
      <c r="AC141" s="450"/>
      <c r="AD141" s="450"/>
      <c r="AE141" s="450"/>
      <c r="AF141" s="450"/>
      <c r="AG141" s="450"/>
      <c r="AH141" s="450"/>
      <c r="AI141" s="450"/>
      <c r="AJ141" s="450"/>
    </row>
    <row r="142" spans="1:36">
      <c r="D142" s="206"/>
      <c r="E142" s="206" t="s">
        <v>19</v>
      </c>
      <c r="F142" s="206"/>
      <c r="G142" s="206"/>
      <c r="H142" s="206"/>
      <c r="O142" s="450"/>
      <c r="P142" s="450"/>
      <c r="Q142" s="450"/>
      <c r="R142" s="450"/>
      <c r="S142" s="450"/>
      <c r="T142" s="450"/>
      <c r="U142" s="450"/>
      <c r="V142" s="450"/>
      <c r="W142" s="450"/>
      <c r="X142" s="450"/>
      <c r="Y142" s="450"/>
      <c r="Z142" s="450"/>
      <c r="AA142" s="450"/>
      <c r="AB142" s="450"/>
      <c r="AC142" s="450"/>
      <c r="AD142" s="450"/>
      <c r="AE142" s="450"/>
      <c r="AF142" s="450"/>
      <c r="AG142" s="450"/>
      <c r="AH142" s="450"/>
      <c r="AI142" s="450"/>
      <c r="AJ142" s="450"/>
    </row>
    <row r="143" spans="1:36">
      <c r="D143" s="206"/>
      <c r="E143" s="206" t="s">
        <v>20</v>
      </c>
      <c r="F143" s="206"/>
      <c r="G143" s="206"/>
      <c r="H143" s="206"/>
      <c r="O143" s="450"/>
      <c r="P143" s="450"/>
      <c r="Q143" s="450"/>
      <c r="R143" s="450"/>
      <c r="S143" s="450"/>
      <c r="T143" s="450"/>
      <c r="U143" s="450"/>
      <c r="V143" s="450"/>
      <c r="W143" s="450"/>
      <c r="X143" s="450"/>
      <c r="Y143" s="450"/>
      <c r="Z143" s="450"/>
      <c r="AA143" s="450"/>
      <c r="AB143" s="450"/>
      <c r="AC143" s="450"/>
      <c r="AD143" s="450"/>
      <c r="AE143" s="450"/>
      <c r="AF143" s="450"/>
      <c r="AG143" s="450"/>
      <c r="AH143" s="450"/>
      <c r="AI143" s="450"/>
      <c r="AJ143" s="450"/>
    </row>
    <row r="144" spans="1:36">
      <c r="D144" s="206"/>
      <c r="E144" s="206" t="s">
        <v>32</v>
      </c>
      <c r="F144" s="206"/>
      <c r="G144" s="206"/>
      <c r="H144" s="206"/>
      <c r="O144" s="450"/>
      <c r="P144" s="450"/>
      <c r="Q144" s="450"/>
      <c r="R144" s="450"/>
      <c r="S144" s="450"/>
      <c r="T144" s="450"/>
      <c r="U144" s="450"/>
      <c r="V144" s="450"/>
      <c r="W144" s="450"/>
      <c r="X144" s="450"/>
      <c r="Y144" s="450"/>
      <c r="Z144" s="450"/>
      <c r="AA144" s="450"/>
      <c r="AB144" s="450"/>
      <c r="AC144" s="450"/>
      <c r="AD144" s="450"/>
      <c r="AE144" s="450"/>
      <c r="AF144" s="450"/>
      <c r="AG144" s="450"/>
      <c r="AH144" s="450"/>
      <c r="AI144" s="450"/>
      <c r="AJ144" s="450"/>
    </row>
    <row r="145" spans="4:8">
      <c r="D145" s="206"/>
      <c r="E145" s="206" t="s">
        <v>33</v>
      </c>
      <c r="F145" s="206"/>
      <c r="G145" s="206"/>
      <c r="H145" s="206"/>
    </row>
    <row r="146" spans="4:8">
      <c r="D146" s="206"/>
      <c r="E146" s="206"/>
      <c r="F146" s="206"/>
      <c r="G146" s="206"/>
      <c r="H146" s="206"/>
    </row>
    <row r="147" spans="4:8">
      <c r="D147" s="206"/>
      <c r="E147" s="206"/>
      <c r="F147" s="206"/>
      <c r="G147" s="206"/>
      <c r="H147" s="206"/>
    </row>
    <row r="148" spans="4:8">
      <c r="D148" s="206"/>
      <c r="E148" s="206"/>
      <c r="F148" s="206"/>
      <c r="G148" s="206"/>
      <c r="H148" s="206"/>
    </row>
    <row r="149" spans="4:8">
      <c r="D149" s="206"/>
      <c r="E149" s="206"/>
      <c r="F149" s="206"/>
      <c r="G149" s="206"/>
      <c r="H149" s="206"/>
    </row>
    <row r="150" spans="4:8">
      <c r="D150" s="206"/>
      <c r="E150" s="206"/>
      <c r="F150" s="206"/>
      <c r="G150" s="206"/>
      <c r="H150" s="206"/>
    </row>
    <row r="151" spans="4:8">
      <c r="D151" s="206"/>
      <c r="E151" s="206"/>
      <c r="F151" s="206"/>
      <c r="G151" s="206"/>
      <c r="H151" s="206"/>
    </row>
    <row r="152" spans="4:8">
      <c r="D152" s="206"/>
      <c r="E152" s="206"/>
      <c r="F152" s="206"/>
      <c r="G152" s="206"/>
      <c r="H152" s="206"/>
    </row>
    <row r="153" spans="4:8">
      <c r="D153" s="206"/>
      <c r="E153" s="206"/>
      <c r="F153" s="206"/>
      <c r="G153" s="206"/>
      <c r="H153" s="206"/>
    </row>
    <row r="154" spans="4:8">
      <c r="D154" s="206"/>
      <c r="E154" s="206"/>
      <c r="F154" s="206"/>
      <c r="G154" s="206"/>
      <c r="H154" s="206"/>
    </row>
    <row r="155" spans="4:8">
      <c r="D155" s="206"/>
      <c r="E155" s="206"/>
      <c r="F155" s="206"/>
      <c r="G155" s="206"/>
      <c r="H155" s="206"/>
    </row>
    <row r="156" spans="4:8">
      <c r="D156" s="206"/>
      <c r="E156" s="206"/>
      <c r="F156" s="206"/>
      <c r="G156" s="206"/>
      <c r="H156" s="206"/>
    </row>
    <row r="157" spans="4:8">
      <c r="D157" s="206"/>
      <c r="E157" s="206"/>
      <c r="F157" s="206"/>
      <c r="G157" s="206"/>
      <c r="H157" s="206"/>
    </row>
    <row r="158" spans="4:8">
      <c r="D158" s="206">
        <v>1</v>
      </c>
      <c r="E158" s="206" t="s">
        <v>229</v>
      </c>
      <c r="F158" s="206"/>
      <c r="G158" s="206"/>
      <c r="H158" s="206"/>
    </row>
    <row r="159" spans="4:8">
      <c r="D159" s="206">
        <v>2</v>
      </c>
      <c r="E159" s="206" t="s">
        <v>244</v>
      </c>
      <c r="F159" s="206"/>
      <c r="G159" s="206"/>
      <c r="H159" s="206"/>
    </row>
    <row r="160" spans="4:8">
      <c r="D160" s="206">
        <v>3</v>
      </c>
      <c r="E160" s="206" t="s">
        <v>60</v>
      </c>
      <c r="F160" s="206"/>
      <c r="G160" s="206"/>
      <c r="H160" s="206"/>
    </row>
    <row r="161" spans="4:8">
      <c r="D161" s="206">
        <v>4</v>
      </c>
      <c r="E161" s="206" t="s">
        <v>350</v>
      </c>
      <c r="F161" s="206"/>
      <c r="G161" s="206"/>
      <c r="H161" s="206"/>
    </row>
    <row r="162" spans="4:8">
      <c r="D162" s="206">
        <v>5</v>
      </c>
      <c r="E162" s="206" t="s">
        <v>351</v>
      </c>
      <c r="F162" s="206"/>
      <c r="G162" s="206"/>
      <c r="H162" s="206"/>
    </row>
    <row r="163" spans="4:8">
      <c r="D163" s="206">
        <v>6</v>
      </c>
      <c r="E163" s="206" t="s">
        <v>352</v>
      </c>
      <c r="F163" s="206"/>
      <c r="G163" s="206"/>
      <c r="H163" s="206"/>
    </row>
    <row r="164" spans="4:8">
      <c r="D164" s="206"/>
      <c r="E164" s="206"/>
      <c r="F164" s="206"/>
      <c r="G164" s="206"/>
      <c r="H164" s="206"/>
    </row>
    <row r="165" spans="4:8">
      <c r="D165" s="206"/>
      <c r="E165" s="206"/>
      <c r="F165" s="206"/>
      <c r="G165" s="206"/>
      <c r="H165" s="206"/>
    </row>
    <row r="166" spans="4:8">
      <c r="D166" s="206"/>
      <c r="E166" s="206"/>
      <c r="F166" s="206"/>
      <c r="G166" s="206"/>
      <c r="H166" s="206"/>
    </row>
    <row r="167" spans="4:8">
      <c r="D167" s="206"/>
      <c r="E167" s="206"/>
      <c r="F167" s="206"/>
      <c r="G167" s="206"/>
      <c r="H167" s="206"/>
    </row>
    <row r="168" spans="4:8">
      <c r="D168" s="206"/>
      <c r="E168" s="206"/>
      <c r="F168" s="206"/>
      <c r="G168" s="206"/>
      <c r="H168" s="206"/>
    </row>
    <row r="169" spans="4:8">
      <c r="D169" s="206"/>
      <c r="E169" s="206">
        <v>0</v>
      </c>
      <c r="F169" s="206"/>
      <c r="G169" s="206"/>
      <c r="H169" s="206"/>
    </row>
    <row r="170" spans="4:8">
      <c r="D170" s="206"/>
      <c r="E170" s="206">
        <v>1</v>
      </c>
      <c r="F170" s="206"/>
      <c r="G170" s="206"/>
      <c r="H170" s="206"/>
    </row>
    <row r="171" spans="4:8">
      <c r="D171" s="206"/>
      <c r="E171" s="206">
        <v>2</v>
      </c>
      <c r="F171" s="206"/>
      <c r="G171" s="206"/>
      <c r="H171" s="206"/>
    </row>
    <row r="172" spans="4:8">
      <c r="D172" s="206"/>
      <c r="E172" s="206">
        <v>3</v>
      </c>
      <c r="F172" s="206"/>
      <c r="G172" s="206"/>
      <c r="H172" s="206"/>
    </row>
    <row r="173" spans="4:8">
      <c r="D173" s="206"/>
      <c r="E173" s="206">
        <v>4</v>
      </c>
      <c r="F173" s="206"/>
      <c r="G173" s="206"/>
      <c r="H173" s="206"/>
    </row>
    <row r="174" spans="4:8">
      <c r="D174" s="206"/>
      <c r="E174" s="206">
        <v>5</v>
      </c>
      <c r="F174" s="206"/>
      <c r="G174" s="206"/>
      <c r="H174" s="206"/>
    </row>
    <row r="175" spans="4:8">
      <c r="D175" s="206"/>
      <c r="E175" s="206">
        <v>6</v>
      </c>
      <c r="F175" s="206"/>
      <c r="G175" s="206"/>
      <c r="H175" s="206"/>
    </row>
    <row r="176" spans="4:8">
      <c r="D176" s="206"/>
      <c r="E176" s="206">
        <v>7</v>
      </c>
      <c r="F176" s="206"/>
      <c r="G176" s="206"/>
      <c r="H176" s="206"/>
    </row>
    <row r="177" spans="4:8">
      <c r="D177" s="206"/>
      <c r="E177" s="206">
        <v>8</v>
      </c>
      <c r="F177" s="206"/>
      <c r="G177" s="206"/>
      <c r="H177" s="206"/>
    </row>
    <row r="178" spans="4:8">
      <c r="D178" s="206"/>
      <c r="E178" s="206">
        <v>9</v>
      </c>
      <c r="F178" s="206"/>
      <c r="G178" s="206"/>
      <c r="H178" s="206"/>
    </row>
    <row r="179" spans="4:8">
      <c r="D179" s="206"/>
      <c r="E179" s="206">
        <v>10</v>
      </c>
      <c r="F179" s="206"/>
      <c r="G179" s="206"/>
      <c r="H179" s="206"/>
    </row>
    <row r="180" spans="4:8">
      <c r="D180" s="206"/>
      <c r="E180" s="206"/>
      <c r="F180" s="206"/>
      <c r="G180" s="206"/>
      <c r="H180" s="206"/>
    </row>
    <row r="181" spans="4:8">
      <c r="D181" s="206"/>
      <c r="E181" s="206"/>
      <c r="F181" s="206"/>
      <c r="G181" s="206"/>
      <c r="H181" s="206"/>
    </row>
    <row r="182" spans="4:8">
      <c r="D182" s="206"/>
      <c r="E182" s="206"/>
      <c r="F182" s="206"/>
      <c r="G182" s="206"/>
      <c r="H182" s="206"/>
    </row>
    <row r="183" spans="4:8">
      <c r="D183" s="206"/>
      <c r="E183" s="206"/>
      <c r="F183" s="206"/>
      <c r="G183" s="206"/>
      <c r="H183" s="206"/>
    </row>
    <row r="184" spans="4:8">
      <c r="D184" s="206"/>
      <c r="E184" s="206"/>
      <c r="F184" s="206"/>
      <c r="G184" s="206"/>
      <c r="H184" s="206"/>
    </row>
    <row r="185" spans="4:8">
      <c r="D185" s="206"/>
      <c r="E185" s="206"/>
      <c r="F185" s="206"/>
      <c r="G185" s="206"/>
      <c r="H185" s="206"/>
    </row>
    <row r="186" spans="4:8">
      <c r="D186" s="206"/>
      <c r="E186" s="206"/>
      <c r="F186" s="206"/>
      <c r="G186" s="206"/>
      <c r="H186" s="206"/>
    </row>
    <row r="187" spans="4:8">
      <c r="D187" s="206"/>
      <c r="E187" s="206"/>
      <c r="F187" s="206"/>
      <c r="G187" s="206"/>
      <c r="H187" s="206"/>
    </row>
    <row r="188" spans="4:8">
      <c r="D188" s="206"/>
      <c r="E188" s="206"/>
      <c r="F188" s="206"/>
      <c r="G188" s="206"/>
      <c r="H188" s="206"/>
    </row>
    <row r="189" spans="4:8">
      <c r="D189" s="206"/>
      <c r="E189" s="206"/>
      <c r="F189" s="206"/>
      <c r="G189" s="206"/>
      <c r="H189" s="206"/>
    </row>
    <row r="190" spans="4:8">
      <c r="D190" s="206"/>
      <c r="E190" s="206"/>
      <c r="F190" s="206"/>
      <c r="G190" s="206"/>
      <c r="H190" s="206"/>
    </row>
    <row r="191" spans="4:8">
      <c r="D191" s="206"/>
      <c r="E191" s="206"/>
      <c r="F191" s="206"/>
      <c r="G191" s="206"/>
      <c r="H191" s="206"/>
    </row>
    <row r="192" spans="4:8">
      <c r="D192" s="206"/>
      <c r="E192" s="206"/>
      <c r="F192" s="206"/>
      <c r="G192" s="206"/>
      <c r="H192" s="206"/>
    </row>
    <row r="193" spans="4:8">
      <c r="D193" s="206"/>
      <c r="E193" s="206"/>
      <c r="F193" s="206"/>
      <c r="G193" s="206"/>
      <c r="H193" s="206"/>
    </row>
    <row r="194" spans="4:8">
      <c r="D194" s="206"/>
      <c r="E194" s="206"/>
      <c r="F194" s="206"/>
      <c r="G194" s="206"/>
      <c r="H194" s="206"/>
    </row>
    <row r="195" spans="4:8">
      <c r="D195" s="206"/>
      <c r="E195" s="206"/>
      <c r="F195" s="206"/>
      <c r="G195" s="206"/>
      <c r="H195" s="206"/>
    </row>
    <row r="196" spans="4:8">
      <c r="D196" s="206"/>
      <c r="E196" s="206"/>
      <c r="F196" s="206"/>
      <c r="G196" s="206"/>
      <c r="H196" s="206"/>
    </row>
    <row r="197" spans="4:8">
      <c r="D197" s="206"/>
      <c r="E197" s="206"/>
      <c r="F197" s="206"/>
      <c r="G197" s="206"/>
      <c r="H197" s="206"/>
    </row>
    <row r="198" spans="4:8">
      <c r="D198" s="206"/>
      <c r="E198" s="206"/>
      <c r="F198" s="206"/>
      <c r="G198" s="206"/>
      <c r="H198" s="206"/>
    </row>
    <row r="199" spans="4:8">
      <c r="D199" s="206"/>
      <c r="E199" s="206"/>
      <c r="F199" s="206"/>
      <c r="G199" s="206"/>
      <c r="H199" s="206"/>
    </row>
    <row r="200" spans="4:8">
      <c r="D200" s="206"/>
      <c r="E200" s="206"/>
      <c r="F200" s="206"/>
      <c r="G200" s="206"/>
      <c r="H200" s="206"/>
    </row>
    <row r="201" spans="4:8">
      <c r="D201" s="206"/>
      <c r="E201" s="206"/>
      <c r="F201" s="206"/>
      <c r="G201" s="206"/>
      <c r="H201" s="206"/>
    </row>
  </sheetData>
  <protectedRanges>
    <protectedRange password="C750" sqref="C7:E10" name="Bereik1"/>
  </protectedRanges>
  <mergeCells count="3">
    <mergeCell ref="B13:B15"/>
    <mergeCell ref="B74:B76"/>
    <mergeCell ref="B106:B108"/>
  </mergeCells>
  <phoneticPr fontId="2" type="noConversion"/>
  <conditionalFormatting sqref="E112:E131">
    <cfRule type="expression" dxfId="29" priority="1" stopIfTrue="1">
      <formula>IF(D112=0,1,)</formula>
    </cfRule>
  </conditionalFormatting>
  <conditionalFormatting sqref="I112:I131">
    <cfRule type="expression" dxfId="28" priority="2" stopIfTrue="1">
      <formula>IF(D112=0,1,)</formula>
    </cfRule>
  </conditionalFormatting>
  <conditionalFormatting sqref="C112:C131">
    <cfRule type="expression" dxfId="27" priority="3" stopIfTrue="1">
      <formula>IF(ISNUMBER(D112),,1)</formula>
    </cfRule>
  </conditionalFormatting>
  <conditionalFormatting sqref="L17 F17:K39">
    <cfRule type="expression" dxfId="26" priority="4" stopIfTrue="1">
      <formula>IF(T17&lt;2,1,0)</formula>
    </cfRule>
    <cfRule type="expression" dxfId="25" priority="5" stopIfTrue="1">
      <formula>IF(T17&gt;4,1,0)</formula>
    </cfRule>
    <cfRule type="expression" dxfId="24" priority="6" stopIfTrue="1">
      <formula>IF(T17&gt;1,1,0)</formula>
    </cfRule>
  </conditionalFormatting>
  <conditionalFormatting sqref="J81:J103">
    <cfRule type="cellIs" dxfId="23" priority="7" stopIfTrue="1" operator="lessThan">
      <formula>2</formula>
    </cfRule>
    <cfRule type="cellIs" dxfId="22" priority="8" stopIfTrue="1" operator="greaterThan">
      <formula>4</formula>
    </cfRule>
    <cfRule type="cellIs" dxfId="21" priority="9" stopIfTrue="1" operator="between">
      <formula>1</formula>
      <formula>5</formula>
    </cfRule>
  </conditionalFormatting>
  <conditionalFormatting sqref="D112:D118">
    <cfRule type="cellIs" dxfId="20" priority="10" stopIfTrue="1" operator="equal">
      <formula>0</formula>
    </cfRule>
  </conditionalFormatting>
  <conditionalFormatting sqref="D119:D131">
    <cfRule type="expression" dxfId="19" priority="11" stopIfTrue="1">
      <formula>IF(ISNUMBER(D119),1,)</formula>
    </cfRule>
  </conditionalFormatting>
  <conditionalFormatting sqref="M17:R39">
    <cfRule type="expression" dxfId="18" priority="12" stopIfTrue="1">
      <formula>IF(T17&lt;2,1,0)</formula>
    </cfRule>
    <cfRule type="expression" dxfId="17" priority="13" stopIfTrue="1">
      <formula>IF(T17&gt;4,1,0)</formula>
    </cfRule>
    <cfRule type="expression" dxfId="16" priority="14" stopIfTrue="1">
      <formula>IF(T17&gt;1,1,0)</formula>
    </cfRule>
  </conditionalFormatting>
  <pageMargins left="0.75" right="0.75" top="1" bottom="1" header="0.5" footer="0.5"/>
  <pageSetup paperSize="8" scale="50"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sheetPr codeName="Blad4"/>
  <dimension ref="A2:AI126"/>
  <sheetViews>
    <sheetView workbookViewId="0"/>
  </sheetViews>
  <sheetFormatPr defaultRowHeight="12.75"/>
  <cols>
    <col min="1" max="1" width="9.140625" style="197"/>
    <col min="2" max="2" width="21.28515625" style="197" customWidth="1"/>
    <col min="3" max="3" width="29.5703125" style="197" customWidth="1"/>
    <col min="4" max="4" width="19.7109375" style="197" customWidth="1"/>
    <col min="5" max="5" width="29.42578125" style="197" customWidth="1"/>
    <col min="6" max="6" width="17.5703125" style="197" bestFit="1" customWidth="1"/>
    <col min="7" max="7" width="28.28515625" style="197" customWidth="1"/>
    <col min="8" max="8" width="23" style="197" customWidth="1"/>
    <col min="9" max="9" width="21.7109375" style="197" customWidth="1"/>
    <col min="10" max="10" width="19" style="197" bestFit="1" customWidth="1"/>
    <col min="11" max="11" width="9.28515625" style="197" bestFit="1" customWidth="1"/>
    <col min="12" max="12" width="10.140625" style="197" bestFit="1" customWidth="1"/>
    <col min="13" max="13" width="15.42578125" style="197" customWidth="1"/>
    <col min="14" max="29" width="9.140625" style="197"/>
    <col min="30" max="30" width="13.140625" style="197" bestFit="1" customWidth="1"/>
    <col min="31" max="31" width="26.28515625" style="197" bestFit="1" customWidth="1"/>
    <col min="32" max="32" width="9.140625" style="197"/>
    <col min="33" max="34" width="15.42578125" style="197" customWidth="1"/>
    <col min="35" max="35" width="23.28515625" style="197" bestFit="1" customWidth="1"/>
    <col min="36" max="36" width="13.42578125" style="197" bestFit="1" customWidth="1"/>
    <col min="37" max="37" width="18.5703125" style="197" bestFit="1" customWidth="1"/>
    <col min="38" max="38" width="16.5703125" style="197" bestFit="1" customWidth="1"/>
    <col min="39" max="39" width="15.140625" style="197" bestFit="1" customWidth="1"/>
    <col min="40" max="16384" width="9.140625" style="197"/>
  </cols>
  <sheetData>
    <row r="2" spans="2:35" ht="23.25">
      <c r="B2" s="170" t="s">
        <v>366</v>
      </c>
      <c r="J2" s="210"/>
    </row>
    <row r="3" spans="2:35">
      <c r="AI3" s="211"/>
    </row>
    <row r="5" spans="2:35" ht="15.75">
      <c r="B5" s="245" t="s">
        <v>264</v>
      </c>
      <c r="C5" s="192"/>
      <c r="D5" s="192"/>
      <c r="E5" s="192"/>
      <c r="F5" s="192"/>
      <c r="G5" s="192"/>
      <c r="H5" s="192"/>
      <c r="I5" s="192"/>
      <c r="J5" s="192"/>
      <c r="K5" s="192"/>
      <c r="L5" s="192"/>
    </row>
    <row r="6" spans="2:35">
      <c r="AA6" s="199"/>
    </row>
    <row r="7" spans="2:35">
      <c r="B7" s="427">
        <v>1</v>
      </c>
      <c r="C7" s="191" t="s">
        <v>263</v>
      </c>
      <c r="D7" s="191"/>
      <c r="E7" s="191"/>
      <c r="F7" s="191"/>
      <c r="G7" s="191"/>
      <c r="H7" s="191"/>
      <c r="I7" s="191"/>
      <c r="J7" s="191"/>
      <c r="K7" s="191"/>
      <c r="L7" s="191"/>
      <c r="X7" s="206"/>
      <c r="Y7" s="206"/>
      <c r="Z7" s="206"/>
      <c r="AA7" s="206"/>
      <c r="AB7" s="206"/>
    </row>
    <row r="8" spans="2:35" ht="12.75" customHeight="1">
      <c r="B8" s="427"/>
      <c r="C8" s="198"/>
      <c r="D8" s="198"/>
      <c r="E8" s="198"/>
      <c r="F8" s="198"/>
      <c r="G8" s="198"/>
      <c r="H8" s="198"/>
      <c r="I8" s="198"/>
      <c r="J8" s="198"/>
      <c r="K8" s="198"/>
      <c r="L8" s="198"/>
      <c r="X8" s="206"/>
      <c r="Y8" s="206"/>
      <c r="Z8" s="206"/>
      <c r="AA8" s="206"/>
      <c r="AB8" s="206"/>
    </row>
    <row r="9" spans="2:35" ht="12.75" customHeight="1">
      <c r="B9" s="427"/>
      <c r="C9" s="195"/>
      <c r="D9" s="195"/>
      <c r="E9" s="193"/>
      <c r="F9" s="195"/>
      <c r="G9" s="193" t="s">
        <v>272</v>
      </c>
      <c r="H9" s="193"/>
      <c r="I9" s="198"/>
      <c r="J9" s="198"/>
      <c r="K9" s="198"/>
      <c r="L9" s="198"/>
      <c r="X9" s="206"/>
      <c r="Y9" s="206"/>
      <c r="Z9" s="206"/>
      <c r="AA9" s="206"/>
      <c r="AB9" s="206"/>
    </row>
    <row r="10" spans="2:35" ht="12.75" customHeight="1">
      <c r="B10" s="212"/>
      <c r="C10" s="195"/>
      <c r="D10" s="195"/>
      <c r="E10" s="195"/>
      <c r="F10" s="195"/>
      <c r="G10" s="193" t="s">
        <v>273</v>
      </c>
      <c r="H10" s="193"/>
      <c r="I10" s="198"/>
      <c r="J10" s="198"/>
      <c r="K10" s="198"/>
      <c r="X10" s="206" t="s">
        <v>269</v>
      </c>
      <c r="Y10" s="206"/>
      <c r="Z10" s="206"/>
      <c r="AA10" s="206"/>
      <c r="AB10" s="206"/>
    </row>
    <row r="11" spans="2:35" ht="12.75" customHeight="1">
      <c r="B11" s="212"/>
      <c r="C11" s="193"/>
      <c r="D11" s="194" t="s">
        <v>280</v>
      </c>
      <c r="E11" s="195"/>
      <c r="F11" s="195"/>
      <c r="G11" s="193" t="s">
        <v>274</v>
      </c>
      <c r="H11" s="193"/>
      <c r="I11" s="198"/>
      <c r="J11" s="198"/>
      <c r="K11" s="198"/>
      <c r="W11" s="416"/>
      <c r="X11" s="416" t="s">
        <v>270</v>
      </c>
      <c r="Y11" s="416"/>
      <c r="Z11" s="416"/>
      <c r="AA11" s="416"/>
      <c r="AB11" s="206"/>
    </row>
    <row r="12" spans="2:35" ht="12.75" customHeight="1">
      <c r="B12" s="212"/>
      <c r="C12" s="195"/>
      <c r="D12" s="193"/>
      <c r="E12" s="193"/>
      <c r="F12" s="195"/>
      <c r="G12" s="193" t="s">
        <v>275</v>
      </c>
      <c r="H12" s="403"/>
      <c r="I12" s="404"/>
      <c r="J12" s="404"/>
      <c r="K12" s="404"/>
      <c r="L12" s="405"/>
      <c r="M12" s="405"/>
      <c r="N12" s="405"/>
      <c r="O12" s="405"/>
      <c r="P12" s="405"/>
      <c r="Q12" s="405"/>
      <c r="R12" s="405"/>
      <c r="S12" s="405"/>
      <c r="T12" s="405"/>
      <c r="U12" s="405"/>
      <c r="V12" s="405"/>
      <c r="W12" s="416"/>
      <c r="X12" s="416" t="s">
        <v>271</v>
      </c>
      <c r="Y12" s="416"/>
      <c r="Z12" s="416"/>
      <c r="AA12" s="416"/>
      <c r="AB12" s="405"/>
      <c r="AC12" s="405"/>
      <c r="AD12" s="405"/>
      <c r="AE12" s="405"/>
      <c r="AF12" s="405"/>
      <c r="AG12" s="405"/>
      <c r="AH12" s="405"/>
      <c r="AI12" s="405"/>
    </row>
    <row r="13" spans="2:35" ht="12.75" customHeight="1">
      <c r="B13" s="212"/>
      <c r="C13" s="198"/>
      <c r="D13" s="198"/>
      <c r="E13" s="198"/>
      <c r="F13" s="236"/>
      <c r="G13" s="236"/>
      <c r="H13" s="404"/>
      <c r="I13" s="404"/>
      <c r="J13" s="404"/>
      <c r="K13" s="404"/>
      <c r="L13" s="405"/>
      <c r="M13" s="405"/>
      <c r="N13" s="405"/>
      <c r="O13" s="405"/>
      <c r="P13" s="405"/>
      <c r="Q13" s="405"/>
      <c r="R13" s="405"/>
      <c r="S13" s="405"/>
      <c r="T13" s="405"/>
      <c r="U13" s="405"/>
      <c r="V13" s="405"/>
      <c r="W13" s="416"/>
      <c r="X13" s="416"/>
      <c r="Y13" s="416"/>
      <c r="Z13" s="416"/>
      <c r="AA13" s="416"/>
      <c r="AB13" s="405"/>
      <c r="AC13" s="405"/>
      <c r="AD13" s="405"/>
      <c r="AE13" s="405"/>
      <c r="AF13" s="405"/>
      <c r="AG13" s="405"/>
      <c r="AH13" s="405"/>
      <c r="AI13" s="405"/>
    </row>
    <row r="14" spans="2:35" ht="12.75" customHeight="1">
      <c r="B14" s="212"/>
      <c r="C14" s="198"/>
      <c r="D14" s="198"/>
      <c r="E14" s="236">
        <v>1</v>
      </c>
      <c r="F14" s="358">
        <v>2</v>
      </c>
      <c r="G14" s="236"/>
      <c r="H14" s="404"/>
      <c r="I14" s="404"/>
      <c r="J14" s="404"/>
      <c r="K14" s="404"/>
      <c r="L14" s="405"/>
      <c r="M14" s="405"/>
      <c r="N14" s="405"/>
      <c r="O14" s="405"/>
      <c r="P14" s="405"/>
      <c r="Q14" s="405"/>
      <c r="R14" s="405"/>
      <c r="S14" s="405"/>
      <c r="T14" s="405"/>
      <c r="U14" s="405"/>
      <c r="V14" s="405"/>
      <c r="W14" s="416"/>
      <c r="X14" s="416"/>
      <c r="Y14" s="416"/>
      <c r="Z14" s="416" t="s">
        <v>257</v>
      </c>
      <c r="AA14" s="416"/>
      <c r="AB14" s="405"/>
      <c r="AC14" s="405"/>
      <c r="AD14" s="405"/>
      <c r="AE14" s="405"/>
      <c r="AF14" s="405"/>
      <c r="AG14" s="405"/>
      <c r="AH14" s="405"/>
      <c r="AI14" s="405"/>
    </row>
    <row r="15" spans="2:35" ht="12.75" customHeight="1">
      <c r="B15" s="212"/>
      <c r="C15" s="239" t="s">
        <v>261</v>
      </c>
      <c r="D15" s="239" t="s">
        <v>251</v>
      </c>
      <c r="E15" s="207" t="s">
        <v>268</v>
      </c>
      <c r="F15" s="207" t="s">
        <v>267</v>
      </c>
      <c r="G15" s="207" t="s">
        <v>262</v>
      </c>
      <c r="H15" s="416"/>
      <c r="I15" s="416"/>
      <c r="J15" s="416"/>
      <c r="K15" s="416"/>
      <c r="L15" s="416"/>
      <c r="M15" s="416"/>
      <c r="N15" s="416"/>
      <c r="O15" s="416"/>
      <c r="P15" s="416"/>
      <c r="Q15" s="416"/>
      <c r="R15" s="405"/>
      <c r="S15" s="405"/>
      <c r="T15" s="405"/>
      <c r="U15" s="405"/>
      <c r="V15" s="405"/>
      <c r="W15" s="416"/>
      <c r="X15" s="416"/>
      <c r="Y15" s="416"/>
      <c r="Z15" s="416" t="s">
        <v>258</v>
      </c>
      <c r="AA15" s="416"/>
      <c r="AB15" s="405"/>
      <c r="AC15" s="405"/>
      <c r="AD15" s="405"/>
      <c r="AE15" s="405"/>
      <c r="AF15" s="405"/>
      <c r="AG15" s="405"/>
      <c r="AH15" s="405"/>
      <c r="AI15" s="405"/>
    </row>
    <row r="16" spans="2:35">
      <c r="C16" s="177" t="str">
        <f>Vis!C17</f>
        <v>Buisvijzel FFI</v>
      </c>
      <c r="D16" s="177" t="str">
        <f>Vis!D17</f>
        <v>Vijzel</v>
      </c>
      <c r="E16" s="296">
        <f>IF(ISNUMBER(VLOOKUP(D16,Techniek!$C$93:$G$97,5,FALSE)),VLOOKUP(D16,Techniek!$C$93:$G$97,5,FALSE),"")</f>
        <v>0.65386666666666671</v>
      </c>
      <c r="F16" s="296">
        <f>IF(ISNUMBER(VLOOKUP(C16,Vis!$B$112:$F$131,3,FALSE)),VLOOKUP(C16,Vis!$B$112:$F$131,3,FALSE),"")</f>
        <v>0.99333335333333328</v>
      </c>
      <c r="G16" s="222">
        <f>IF(ISNUMBER(E16),E16+K16+L16,"")</f>
        <v>2.640533473333333</v>
      </c>
      <c r="H16" s="416" t="str">
        <f>C16</f>
        <v>Buisvijzel FFI</v>
      </c>
      <c r="I16" s="416" t="str">
        <f>D16</f>
        <v>Vijzel</v>
      </c>
      <c r="J16" s="416">
        <f>IF(ISNUMBER(F16),($F$14*F16),0)</f>
        <v>1.9866667066666666</v>
      </c>
      <c r="K16" s="416">
        <f t="shared" ref="K16:K22" si="0">IF(ISNUMBER(J16),J16,0)</f>
        <v>1.9866667066666666</v>
      </c>
      <c r="L16" s="417">
        <v>9.9999999999999995E-8</v>
      </c>
      <c r="M16" s="416">
        <f>IF(ISNUMBER(F16*$F$14),F16*$F$14,0)</f>
        <v>1.9866667066666666</v>
      </c>
      <c r="N16" s="416"/>
      <c r="O16" s="416"/>
      <c r="P16" s="416"/>
      <c r="Q16" s="416"/>
      <c r="R16" s="405"/>
      <c r="S16" s="405"/>
      <c r="T16" s="405"/>
      <c r="U16" s="405"/>
      <c r="V16" s="405"/>
      <c r="W16" s="416"/>
      <c r="X16" s="416">
        <v>1</v>
      </c>
      <c r="Y16" s="416"/>
      <c r="Z16" s="416"/>
      <c r="AA16" s="416"/>
      <c r="AB16" s="405"/>
      <c r="AC16" s="405"/>
      <c r="AD16" s="405"/>
      <c r="AE16" s="405"/>
      <c r="AF16" s="405"/>
      <c r="AG16" s="405"/>
      <c r="AH16" s="405"/>
      <c r="AI16" s="405"/>
    </row>
    <row r="17" spans="2:35">
      <c r="C17" s="177" t="str">
        <f>Vis!C18</f>
        <v>De Wit vijzel</v>
      </c>
      <c r="D17" s="177" t="str">
        <f>Vis!D18</f>
        <v>Vijzel</v>
      </c>
      <c r="E17" s="296">
        <f>IF(ISNUMBER(VLOOKUP(D17,Techniek!$C$93:$G$97,5,FALSE)),VLOOKUP(D17,Techniek!$C$93:$G$97,5,FALSE),"")</f>
        <v>0.65386666666666671</v>
      </c>
      <c r="F17" s="296">
        <f>IF(ISNUMBER(VLOOKUP(C17,Vis!$B$112:$F$131,3,FALSE)),VLOOKUP(C17,Vis!$B$112:$F$131,3,FALSE),"")</f>
        <v>0.99666667666666664</v>
      </c>
      <c r="G17" s="222">
        <f t="shared" ref="G17:G38" si="1">IF(ISNUMBER(E17),E17+K17+L17,"")</f>
        <v>2.6472002200000002</v>
      </c>
      <c r="H17" s="416" t="str">
        <f t="shared" ref="H17:H38" si="2">C17</f>
        <v>De Wit vijzel</v>
      </c>
      <c r="I17" s="416" t="str">
        <f t="shared" ref="I17:I38" si="3">D17</f>
        <v>Vijzel</v>
      </c>
      <c r="J17" s="416">
        <f t="shared" ref="J17:J37" si="4">IF(ISNUMBER(F17),($F$14*F17),0)</f>
        <v>1.9933333533333333</v>
      </c>
      <c r="K17" s="416">
        <f t="shared" si="0"/>
        <v>1.9933333533333333</v>
      </c>
      <c r="L17" s="416">
        <v>1.9999999999999999E-7</v>
      </c>
      <c r="M17" s="416">
        <f t="shared" ref="M17:M38" si="5">IF(ISNUMBER(F17*$F$14),F17*$F$14,0)</f>
        <v>1.9933333533333333</v>
      </c>
      <c r="N17" s="416"/>
      <c r="O17" s="416"/>
      <c r="P17" s="416"/>
      <c r="Q17" s="416"/>
      <c r="R17" s="405"/>
      <c r="S17" s="405"/>
      <c r="T17" s="405"/>
      <c r="U17" s="405"/>
      <c r="V17" s="405"/>
      <c r="W17" s="416"/>
      <c r="X17" s="416">
        <v>2</v>
      </c>
      <c r="Y17" s="416"/>
      <c r="Z17" s="416"/>
      <c r="AA17" s="416"/>
      <c r="AB17" s="405"/>
      <c r="AC17" s="405"/>
      <c r="AD17" s="405"/>
      <c r="AE17" s="405"/>
      <c r="AF17" s="405"/>
      <c r="AG17" s="405"/>
      <c r="AH17" s="405"/>
      <c r="AI17" s="405"/>
    </row>
    <row r="18" spans="2:35">
      <c r="C18" s="177" t="str">
        <f>Vis!C19</f>
        <v>Vijzel</v>
      </c>
      <c r="D18" s="177" t="str">
        <f>Vis!D19</f>
        <v>Vijzel</v>
      </c>
      <c r="E18" s="296">
        <f>IF(ISNUMBER(VLOOKUP(D18,Techniek!$C$93:$G$97,5,FALSE)),VLOOKUP(D18,Techniek!$C$93:$G$97,5,FALSE),"")</f>
        <v>0.65386666666666671</v>
      </c>
      <c r="F18" s="296">
        <f>IF(ISNUMBER(VLOOKUP(C18,Vis!$B$112:$F$131,3,FALSE)),VLOOKUP(C18,Vis!$B$112:$F$131,3,FALSE),"")</f>
        <v>0.94230772230769233</v>
      </c>
      <c r="G18" s="222">
        <f t="shared" si="1"/>
        <v>2.5384824112820512</v>
      </c>
      <c r="H18" s="416" t="str">
        <f t="shared" si="2"/>
        <v>Vijzel</v>
      </c>
      <c r="I18" s="416" t="str">
        <f t="shared" si="3"/>
        <v>Vijzel</v>
      </c>
      <c r="J18" s="416">
        <f t="shared" si="4"/>
        <v>1.8846154446153847</v>
      </c>
      <c r="K18" s="416">
        <f t="shared" si="0"/>
        <v>1.8846154446153847</v>
      </c>
      <c r="L18" s="417">
        <v>2.9999999999999999E-7</v>
      </c>
      <c r="M18" s="416">
        <f t="shared" si="5"/>
        <v>1.8846154446153847</v>
      </c>
      <c r="N18" s="416"/>
      <c r="O18" s="416"/>
      <c r="P18" s="416"/>
      <c r="Q18" s="416"/>
      <c r="R18" s="405"/>
      <c r="S18" s="405"/>
      <c r="T18" s="405"/>
      <c r="U18" s="405"/>
      <c r="V18" s="405"/>
      <c r="W18" s="416"/>
      <c r="X18" s="416">
        <v>3</v>
      </c>
      <c r="Y18" s="416"/>
      <c r="Z18" s="416"/>
      <c r="AA18" s="416"/>
      <c r="AB18" s="405"/>
      <c r="AC18" s="405"/>
      <c r="AD18" s="405"/>
      <c r="AE18" s="405"/>
      <c r="AF18" s="405"/>
      <c r="AG18" s="405"/>
      <c r="AH18" s="405"/>
      <c r="AI18" s="405"/>
    </row>
    <row r="19" spans="2:35">
      <c r="B19" s="409"/>
      <c r="C19" s="410" t="str">
        <f>Vis!C20</f>
        <v>Vijzel (Spaans Babcock)</v>
      </c>
      <c r="D19" s="410" t="str">
        <f>Vis!D20</f>
        <v>Vijzel</v>
      </c>
      <c r="E19" s="296">
        <f>IF(ISNUMBER(VLOOKUP(D19,Techniek!$C$93:$G$97,5,FALSE)),VLOOKUP(D19,Techniek!$C$93:$G$97,5,FALSE),"")</f>
        <v>0.65386666666666671</v>
      </c>
      <c r="F19" s="296">
        <f>IF(ISNUMBER(VLOOKUP(C19,Vis!$B$112:$F$131,3,FALSE)),VLOOKUP(C19,Vis!$B$112:$F$131,3,FALSE),"")</f>
        <v>1</v>
      </c>
      <c r="G19" s="222">
        <f t="shared" si="1"/>
        <v>2.6538670666666664</v>
      </c>
      <c r="H19" s="416" t="str">
        <f t="shared" si="2"/>
        <v>Vijzel (Spaans Babcock)</v>
      </c>
      <c r="I19" s="416" t="str">
        <f t="shared" si="3"/>
        <v>Vijzel</v>
      </c>
      <c r="J19" s="416">
        <f>IF(ISNUMBER(F19),($F$14*F19),0)</f>
        <v>2</v>
      </c>
      <c r="K19" s="416">
        <f t="shared" si="0"/>
        <v>2</v>
      </c>
      <c r="L19" s="416">
        <v>3.9999999999999998E-7</v>
      </c>
      <c r="M19" s="416">
        <f>IF(ISNUMBER(F19*$F$14),F19*$F$14,0)</f>
        <v>2</v>
      </c>
      <c r="N19" s="416"/>
      <c r="O19" s="416"/>
      <c r="P19" s="416"/>
      <c r="Q19" s="416"/>
      <c r="R19" s="405"/>
      <c r="S19" s="405"/>
      <c r="T19" s="405"/>
      <c r="U19" s="405"/>
      <c r="V19" s="405"/>
      <c r="W19" s="416"/>
      <c r="X19" s="416"/>
      <c r="Y19" s="416"/>
      <c r="Z19" s="416"/>
      <c r="AA19" s="416"/>
      <c r="AB19" s="405"/>
      <c r="AC19" s="405"/>
      <c r="AD19" s="405"/>
      <c r="AE19" s="405"/>
      <c r="AF19" s="405"/>
      <c r="AG19" s="405"/>
      <c r="AH19" s="405"/>
      <c r="AI19" s="405"/>
    </row>
    <row r="20" spans="2:35">
      <c r="B20" s="409"/>
      <c r="C20" s="410" t="str">
        <f>Vis!C21</f>
        <v>Vijzel (Landustrie)</v>
      </c>
      <c r="D20" s="410" t="str">
        <f>Vis!D21</f>
        <v>Vijzel</v>
      </c>
      <c r="E20" s="296">
        <f>IF(ISNUMBER(VLOOKUP(D20,Techniek!$C$93:$G$97,5,FALSE)),VLOOKUP(D20,Techniek!$C$93:$G$97,5,FALSE),"")</f>
        <v>0.65386666666666671</v>
      </c>
      <c r="F20" s="296">
        <f>IF(ISNUMBER(VLOOKUP(C20,Vis!$B$112:$F$131,3,FALSE)),VLOOKUP(C20,Vis!$B$112:$F$131,3,FALSE),"")</f>
        <v>0.98499999999999999</v>
      </c>
      <c r="G20" s="222">
        <f t="shared" si="1"/>
        <v>2.6238671666666669</v>
      </c>
      <c r="H20" s="416" t="str">
        <f t="shared" si="2"/>
        <v>Vijzel (Landustrie)</v>
      </c>
      <c r="I20" s="416" t="str">
        <f t="shared" si="3"/>
        <v>Vijzel</v>
      </c>
      <c r="J20" s="416">
        <f>IF(ISNUMBER(F20),($F$14*F20),0)</f>
        <v>1.97</v>
      </c>
      <c r="K20" s="416">
        <f t="shared" si="0"/>
        <v>1.97</v>
      </c>
      <c r="L20" s="416">
        <v>4.9999999999999998E-7</v>
      </c>
      <c r="M20" s="416">
        <f>IF(ISNUMBER(F20*$F$14),F20*$F$14,0)</f>
        <v>1.97</v>
      </c>
      <c r="N20" s="416"/>
      <c r="O20" s="416"/>
      <c r="P20" s="416"/>
      <c r="Q20" s="416"/>
      <c r="R20" s="405"/>
      <c r="S20" s="405"/>
      <c r="T20" s="405"/>
      <c r="U20" s="405"/>
      <c r="V20" s="405"/>
      <c r="W20" s="416"/>
      <c r="X20" s="416"/>
      <c r="Y20" s="416"/>
      <c r="Z20" s="416"/>
      <c r="AA20" s="416"/>
      <c r="AB20" s="405"/>
      <c r="AC20" s="405"/>
      <c r="AD20" s="405"/>
      <c r="AE20" s="405"/>
      <c r="AF20" s="405"/>
      <c r="AG20" s="405"/>
      <c r="AH20" s="405"/>
      <c r="AI20" s="405"/>
    </row>
    <row r="21" spans="2:35">
      <c r="C21" s="177" t="str">
        <f>Vis!C22</f>
        <v>Turbinevijzels</v>
      </c>
      <c r="D21" s="177" t="str">
        <f>Vis!D22</f>
        <v>Turbinevijzel</v>
      </c>
      <c r="E21" s="296" t="str">
        <f>IF(ISNUMBER(VLOOKUP(D21,Techniek!$C$93:$G$97,5,FALSE)),VLOOKUP(D21,Techniek!$C$93:$G$97,5,FALSE),"")</f>
        <v/>
      </c>
      <c r="F21" s="296">
        <f>IF(ISNUMBER(VLOOKUP(C21,Vis!$B$112:$F$131,3,FALSE)),VLOOKUP(C21,Vis!$B$112:$F$131,3,FALSE),"")</f>
        <v>1.00000004</v>
      </c>
      <c r="G21" s="222" t="str">
        <f t="shared" si="1"/>
        <v/>
      </c>
      <c r="H21" s="416" t="str">
        <f t="shared" si="2"/>
        <v>Turbinevijzels</v>
      </c>
      <c r="I21" s="416" t="str">
        <f t="shared" si="3"/>
        <v>Turbinevijzel</v>
      </c>
      <c r="J21" s="416">
        <f t="shared" si="4"/>
        <v>2.00000008</v>
      </c>
      <c r="K21" s="416">
        <f t="shared" si="0"/>
        <v>2.00000008</v>
      </c>
      <c r="L21" s="417">
        <v>5.9999999999999997E-7</v>
      </c>
      <c r="M21" s="416">
        <f t="shared" si="5"/>
        <v>2.00000008</v>
      </c>
      <c r="N21" s="416"/>
      <c r="O21" s="416"/>
      <c r="P21" s="416"/>
      <c r="Q21" s="416"/>
      <c r="R21" s="405"/>
      <c r="S21" s="405"/>
      <c r="T21" s="405"/>
      <c r="U21" s="405"/>
      <c r="V21" s="405"/>
      <c r="W21" s="416"/>
      <c r="X21" s="416">
        <v>4</v>
      </c>
      <c r="Y21" s="416"/>
      <c r="Z21" s="416"/>
      <c r="AA21" s="416"/>
      <c r="AB21" s="405"/>
      <c r="AC21" s="405"/>
      <c r="AD21" s="405"/>
      <c r="AE21" s="405"/>
      <c r="AF21" s="405"/>
      <c r="AG21" s="405"/>
      <c r="AH21" s="405"/>
      <c r="AI21" s="405"/>
    </row>
    <row r="22" spans="2:35">
      <c r="C22" s="177" t="str">
        <f>Vis!C23</f>
        <v>Centrifugaalpomp</v>
      </c>
      <c r="D22" s="177" t="str">
        <f>Vis!D23</f>
        <v>Radiaal</v>
      </c>
      <c r="E22" s="296">
        <f>IF(ISNUMBER(VLOOKUP(D22,Techniek!$C$93:$G$97,5,FALSE)),VLOOKUP(D22,Techniek!$C$93:$G$97,5,FALSE),"")</f>
        <v>0.4392888888888889</v>
      </c>
      <c r="F22" s="296">
        <f>IF(ISNUMBER(VLOOKUP(C22,Vis!$B$112:$F$131,3,FALSE)),VLOOKUP(C22,Vis!$B$112:$F$131,3,FALSE),"")</f>
        <v>0.95272732272727267</v>
      </c>
      <c r="G22" s="222">
        <f t="shared" si="1"/>
        <v>2.3447442343434344</v>
      </c>
      <c r="H22" s="416" t="str">
        <f t="shared" si="2"/>
        <v>Centrifugaalpomp</v>
      </c>
      <c r="I22" s="416" t="str">
        <f t="shared" si="3"/>
        <v>Radiaal</v>
      </c>
      <c r="J22" s="416">
        <f t="shared" si="4"/>
        <v>1.9054546454545453</v>
      </c>
      <c r="K22" s="416">
        <f t="shared" si="0"/>
        <v>1.9054546454545453</v>
      </c>
      <c r="L22" s="416">
        <v>6.9999999999999997E-7</v>
      </c>
      <c r="M22" s="416">
        <f t="shared" si="5"/>
        <v>1.9054546454545453</v>
      </c>
      <c r="N22" s="416"/>
      <c r="O22" s="416"/>
      <c r="P22" s="416"/>
      <c r="Q22" s="416"/>
      <c r="R22" s="405"/>
      <c r="S22" s="405"/>
      <c r="T22" s="405"/>
      <c r="U22" s="405"/>
      <c r="V22" s="405"/>
      <c r="W22" s="416"/>
      <c r="X22" s="416">
        <v>5</v>
      </c>
      <c r="Y22" s="416"/>
      <c r="Z22" s="416"/>
      <c r="AA22" s="416"/>
      <c r="AB22" s="405"/>
      <c r="AC22" s="405"/>
      <c r="AD22" s="405"/>
      <c r="AE22" s="405"/>
      <c r="AF22" s="405"/>
      <c r="AG22" s="405"/>
      <c r="AH22" s="405"/>
      <c r="AI22" s="405"/>
    </row>
    <row r="23" spans="2:35">
      <c r="C23" s="177" t="str">
        <f>Vis!C24</f>
        <v>Amarex KRT</v>
      </c>
      <c r="D23" s="177" t="str">
        <f>Vis!D24</f>
        <v>Half-axiaal</v>
      </c>
      <c r="E23" s="296">
        <f>IF(ISNUMBER(VLOOKUP(D23,Techniek!$C$93:$G$97,5,FALSE)),VLOOKUP(D23,Techniek!$C$93:$G$97,5,FALSE),"")</f>
        <v>0.18915555555555558</v>
      </c>
      <c r="F23" s="296">
        <f>IF(ISNUMBER(VLOOKUP(C23,Vis!$B$112:$F$131,3,FALSE)),VLOOKUP(C23,Vis!$B$112:$F$131,3,FALSE),"")</f>
        <v>1.0000000600000001</v>
      </c>
      <c r="G23" s="222">
        <f t="shared" si="1"/>
        <v>2.1891564755555559</v>
      </c>
      <c r="H23" s="416" t="str">
        <f t="shared" si="2"/>
        <v>Amarex KRT</v>
      </c>
      <c r="I23" s="416" t="str">
        <f t="shared" si="3"/>
        <v>Half-axiaal</v>
      </c>
      <c r="J23" s="416">
        <f t="shared" si="4"/>
        <v>2.0000001200000002</v>
      </c>
      <c r="K23" s="416">
        <f t="shared" ref="K23:K38" si="6">IF(ISNUMBER(J23),J23,0)</f>
        <v>2.0000001200000002</v>
      </c>
      <c r="L23" s="416">
        <v>7.9999999999999996E-7</v>
      </c>
      <c r="M23" s="416">
        <f t="shared" si="5"/>
        <v>2.0000001200000002</v>
      </c>
      <c r="N23" s="416"/>
      <c r="O23" s="416"/>
      <c r="P23" s="416"/>
      <c r="Q23" s="416"/>
      <c r="R23" s="405"/>
      <c r="S23" s="405"/>
      <c r="T23" s="405"/>
      <c r="U23" s="405"/>
      <c r="V23" s="405"/>
      <c r="W23" s="416"/>
      <c r="X23" s="416">
        <v>6</v>
      </c>
      <c r="Y23" s="416"/>
      <c r="Z23" s="416"/>
      <c r="AA23" s="416"/>
      <c r="AB23" s="405"/>
      <c r="AC23" s="405"/>
      <c r="AD23" s="405"/>
      <c r="AE23" s="405"/>
      <c r="AF23" s="405"/>
      <c r="AG23" s="405"/>
      <c r="AH23" s="405"/>
      <c r="AI23" s="405"/>
    </row>
    <row r="24" spans="2:35">
      <c r="C24" s="177" t="str">
        <f>Vis!C25</f>
        <v>BEVERON</v>
      </c>
      <c r="D24" s="177" t="str">
        <f>Vis!D25</f>
        <v>Half-axiaal</v>
      </c>
      <c r="E24" s="296">
        <f>IF(ISNUMBER(VLOOKUP(D24,Techniek!$C$93:$G$97,5,FALSE)),VLOOKUP(D24,Techniek!$C$93:$G$97,5,FALSE),"")</f>
        <v>0.18915555555555558</v>
      </c>
      <c r="F24" s="296">
        <f>IF(ISNUMBER(VLOOKUP(C24,Vis!$B$112:$F$131,3,FALSE)),VLOOKUP(C24,Vis!$B$112:$F$131,3,FALSE),"")</f>
        <v>0.85500007</v>
      </c>
      <c r="G24" s="222">
        <f t="shared" si="1"/>
        <v>1.8991565955555556</v>
      </c>
      <c r="H24" s="416" t="str">
        <f t="shared" si="2"/>
        <v>BEVERON</v>
      </c>
      <c r="I24" s="416" t="str">
        <f t="shared" si="3"/>
        <v>Half-axiaal</v>
      </c>
      <c r="J24" s="416">
        <f t="shared" si="4"/>
        <v>1.71000014</v>
      </c>
      <c r="K24" s="416">
        <f t="shared" si="6"/>
        <v>1.71000014</v>
      </c>
      <c r="L24" s="417">
        <v>8.9999999999999996E-7</v>
      </c>
      <c r="M24" s="416">
        <f t="shared" si="5"/>
        <v>1.71000014</v>
      </c>
      <c r="N24" s="416"/>
      <c r="O24" s="416"/>
      <c r="P24" s="416"/>
      <c r="Q24" s="416"/>
      <c r="R24" s="405"/>
      <c r="S24" s="405"/>
      <c r="T24" s="405"/>
      <c r="U24" s="405"/>
      <c r="V24" s="405"/>
      <c r="W24" s="416"/>
      <c r="X24" s="416">
        <v>7</v>
      </c>
      <c r="Y24" s="416"/>
      <c r="Z24" s="416"/>
      <c r="AA24" s="416"/>
      <c r="AB24" s="405"/>
      <c r="AC24" s="405"/>
      <c r="AD24" s="405"/>
      <c r="AE24" s="405"/>
      <c r="AF24" s="405"/>
      <c r="AG24" s="405"/>
      <c r="AH24" s="405"/>
      <c r="AI24" s="405"/>
    </row>
    <row r="25" spans="2:35">
      <c r="C25" s="177" t="str">
        <f>Vis!C26</f>
        <v>Hidrostal</v>
      </c>
      <c r="D25" s="177" t="str">
        <f>Vis!D26</f>
        <v>Half-axiaal</v>
      </c>
      <c r="E25" s="296">
        <f>IF(ISNUMBER(VLOOKUP(D25,Techniek!$C$93:$G$97,5,FALSE)),VLOOKUP(D25,Techniek!$C$93:$G$97,5,FALSE),"")</f>
        <v>0.18915555555555558</v>
      </c>
      <c r="F25" s="296">
        <f>IF(ISNUMBER(VLOOKUP(C25,Vis!$B$112:$F$131,3,FALSE)),VLOOKUP(C25,Vis!$B$112:$F$131,3,FALSE),"")</f>
        <v>0.95416674666666668</v>
      </c>
      <c r="G25" s="222">
        <f t="shared" si="1"/>
        <v>2.097490048888889</v>
      </c>
      <c r="H25" s="416" t="str">
        <f t="shared" si="2"/>
        <v>Hidrostal</v>
      </c>
      <c r="I25" s="416" t="str">
        <f t="shared" si="3"/>
        <v>Half-axiaal</v>
      </c>
      <c r="J25" s="416">
        <f t="shared" si="4"/>
        <v>1.9083334933333334</v>
      </c>
      <c r="K25" s="416">
        <f t="shared" si="6"/>
        <v>1.9083334933333334</v>
      </c>
      <c r="L25" s="416">
        <v>9.9999999999999995E-7</v>
      </c>
      <c r="M25" s="416">
        <f t="shared" si="5"/>
        <v>1.9083334933333334</v>
      </c>
      <c r="N25" s="416"/>
      <c r="O25" s="416"/>
      <c r="P25" s="416"/>
      <c r="Q25" s="416"/>
      <c r="R25" s="405"/>
      <c r="S25" s="405"/>
      <c r="T25" s="405"/>
      <c r="U25" s="405"/>
      <c r="V25" s="405"/>
      <c r="W25" s="416"/>
      <c r="X25" s="416">
        <v>8</v>
      </c>
      <c r="Y25" s="416"/>
      <c r="Z25" s="416"/>
      <c r="AA25" s="416"/>
      <c r="AB25" s="405"/>
      <c r="AC25" s="405"/>
      <c r="AD25" s="405"/>
      <c r="AE25" s="405"/>
      <c r="AF25" s="405"/>
      <c r="AG25" s="405"/>
      <c r="AH25" s="405"/>
      <c r="AI25" s="405"/>
    </row>
    <row r="26" spans="2:35">
      <c r="C26" s="177" t="str">
        <f>Vis!C27</f>
        <v>half-axiaal pomp</v>
      </c>
      <c r="D26" s="177" t="str">
        <f>Vis!D27</f>
        <v>Half-axiaal</v>
      </c>
      <c r="E26" s="296">
        <f>IF(ISNUMBER(VLOOKUP(D26,Techniek!$C$93:$G$97,5,FALSE)),VLOOKUP(D26,Techniek!$C$93:$G$97,5,FALSE),"")</f>
        <v>0.18915555555555558</v>
      </c>
      <c r="F26" s="296">
        <f>IF(ISNUMBER(VLOOKUP(C26,Vis!$B$112:$F$131,3,FALSE)),VLOOKUP(C26,Vis!$B$112:$F$131,3,FALSE),"")</f>
        <v>0.92833342333333335</v>
      </c>
      <c r="G26" s="222">
        <f t="shared" si="1"/>
        <v>2.0458235022222224</v>
      </c>
      <c r="H26" s="416" t="str">
        <f t="shared" si="2"/>
        <v>half-axiaal pomp</v>
      </c>
      <c r="I26" s="416" t="str">
        <f t="shared" si="3"/>
        <v>Half-axiaal</v>
      </c>
      <c r="J26" s="416">
        <f t="shared" si="4"/>
        <v>1.8566668466666667</v>
      </c>
      <c r="K26" s="416">
        <f t="shared" si="6"/>
        <v>1.8566668466666667</v>
      </c>
      <c r="L26" s="416">
        <v>1.1000000000000001E-6</v>
      </c>
      <c r="M26" s="416">
        <f t="shared" si="5"/>
        <v>1.8566668466666667</v>
      </c>
      <c r="N26" s="416"/>
      <c r="O26" s="416"/>
      <c r="P26" s="416"/>
      <c r="Q26" s="416"/>
      <c r="R26" s="405"/>
      <c r="S26" s="405"/>
      <c r="T26" s="405"/>
      <c r="U26" s="405"/>
      <c r="V26" s="405"/>
      <c r="W26" s="416"/>
      <c r="X26" s="416">
        <v>9</v>
      </c>
      <c r="Y26" s="416"/>
      <c r="Z26" s="416"/>
      <c r="AA26" s="416"/>
      <c r="AB26" s="405"/>
      <c r="AC26" s="405"/>
      <c r="AD26" s="405"/>
      <c r="AE26" s="405"/>
      <c r="AF26" s="405"/>
      <c r="AG26" s="405"/>
      <c r="AH26" s="405"/>
      <c r="AI26" s="405"/>
    </row>
    <row r="27" spans="2:35">
      <c r="C27" s="177" t="str">
        <f>Vis!C28</f>
        <v>Visvriendelijke Hidrostal</v>
      </c>
      <c r="D27" s="177" t="str">
        <f>Vis!D28</f>
        <v>Half-axiaal</v>
      </c>
      <c r="E27" s="296">
        <f>IF(ISNUMBER(VLOOKUP(D27,Techniek!$C$93:$G$97,5,FALSE)),VLOOKUP(D27,Techniek!$C$93:$G$97,5,FALSE),"")</f>
        <v>0.18915555555555558</v>
      </c>
      <c r="F27" s="296">
        <f>IF(ISNUMBER(VLOOKUP(C27,Vis!$B$112:$F$131,3,FALSE)),VLOOKUP(C27,Vis!$B$112:$F$131,3,FALSE),"")</f>
        <v>1.0000001000000001</v>
      </c>
      <c r="G27" s="222">
        <f t="shared" si="1"/>
        <v>2.1891569555555557</v>
      </c>
      <c r="H27" s="416" t="str">
        <f t="shared" si="2"/>
        <v>Visvriendelijke Hidrostal</v>
      </c>
      <c r="I27" s="416" t="str">
        <f t="shared" si="3"/>
        <v>Half-axiaal</v>
      </c>
      <c r="J27" s="416">
        <f t="shared" si="4"/>
        <v>2.0000002000000001</v>
      </c>
      <c r="K27" s="416">
        <f t="shared" si="6"/>
        <v>2.0000002000000001</v>
      </c>
      <c r="L27" s="417">
        <v>1.1999999999999999E-6</v>
      </c>
      <c r="M27" s="416">
        <f t="shared" si="5"/>
        <v>2.0000002000000001</v>
      </c>
      <c r="N27" s="416"/>
      <c r="O27" s="416"/>
      <c r="P27" s="416"/>
      <c r="Q27" s="416"/>
      <c r="R27" s="405"/>
      <c r="S27" s="405"/>
      <c r="T27" s="405"/>
      <c r="U27" s="405"/>
      <c r="V27" s="405"/>
      <c r="W27" s="416"/>
      <c r="X27" s="416">
        <v>10</v>
      </c>
      <c r="Y27" s="416"/>
      <c r="Z27" s="416"/>
      <c r="AA27" s="416"/>
      <c r="AB27" s="405"/>
      <c r="AC27" s="405"/>
      <c r="AD27" s="405"/>
      <c r="AE27" s="405"/>
      <c r="AF27" s="405"/>
      <c r="AG27" s="405"/>
      <c r="AH27" s="405"/>
      <c r="AI27" s="405"/>
    </row>
    <row r="28" spans="2:35">
      <c r="C28" s="177" t="str">
        <f>Vis!C29</f>
        <v>VOPO met stroomomdraaiing</v>
      </c>
      <c r="D28" s="177" t="str">
        <f>Vis!D29</f>
        <v>Half-axiaal</v>
      </c>
      <c r="E28" s="296">
        <f>IF(ISNUMBER(VLOOKUP(D28,Techniek!$C$93:$G$97,5,FALSE)),VLOOKUP(D28,Techniek!$C$93:$G$97,5,FALSE),"")</f>
        <v>0.18915555555555558</v>
      </c>
      <c r="F28" s="296">
        <f>IF(ISNUMBER(VLOOKUP(C28,Vis!$B$112:$F$131,3,FALSE)),VLOOKUP(C28,Vis!$B$112:$F$131,3,FALSE),"")</f>
        <v>0.94000011000000006</v>
      </c>
      <c r="G28" s="222">
        <f t="shared" si="1"/>
        <v>2.0691570755555557</v>
      </c>
      <c r="H28" s="416" t="str">
        <f t="shared" si="2"/>
        <v>VOPO met stroomomdraaiing</v>
      </c>
      <c r="I28" s="416" t="str">
        <f t="shared" si="3"/>
        <v>Half-axiaal</v>
      </c>
      <c r="J28" s="416">
        <f t="shared" si="4"/>
        <v>1.8800002200000001</v>
      </c>
      <c r="K28" s="416">
        <f t="shared" si="6"/>
        <v>1.8800002200000001</v>
      </c>
      <c r="L28" s="416">
        <v>1.3E-6</v>
      </c>
      <c r="M28" s="416">
        <f t="shared" si="5"/>
        <v>1.8800002200000001</v>
      </c>
      <c r="N28" s="416"/>
      <c r="O28" s="416"/>
      <c r="P28" s="416"/>
      <c r="Q28" s="416"/>
      <c r="R28" s="405"/>
      <c r="S28" s="405"/>
      <c r="T28" s="405"/>
      <c r="U28" s="405"/>
      <c r="V28" s="405"/>
      <c r="W28" s="416"/>
      <c r="X28" s="416"/>
      <c r="Y28" s="416"/>
      <c r="Z28" s="416"/>
      <c r="AA28" s="416"/>
      <c r="AB28" s="405"/>
      <c r="AC28" s="405"/>
      <c r="AD28" s="405"/>
      <c r="AE28" s="405"/>
      <c r="AF28" s="405"/>
      <c r="AG28" s="405"/>
      <c r="AH28" s="405"/>
      <c r="AI28" s="405"/>
    </row>
    <row r="29" spans="2:35">
      <c r="C29" s="177" t="str">
        <f>Vis!C30</f>
        <v>Nijhuis Bulbpomp</v>
      </c>
      <c r="D29" s="177" t="str">
        <f>Vis!D30</f>
        <v>Axiaal</v>
      </c>
      <c r="E29" s="296">
        <f>IF(ISNUMBER(VLOOKUP(D29,Techniek!$C$93:$G$97,5,FALSE)),VLOOKUP(D29,Techniek!$C$93:$G$97,5,FALSE),"")</f>
        <v>1</v>
      </c>
      <c r="F29" s="296">
        <f>IF(ISNUMBER(VLOOKUP(C29,Vis!$B$112:$F$131,3,FALSE)),VLOOKUP(C29,Vis!$B$112:$F$131,3,FALSE),"")</f>
        <v>0.97000012000000002</v>
      </c>
      <c r="G29" s="222">
        <f t="shared" si="1"/>
        <v>2.9400016399999997</v>
      </c>
      <c r="H29" s="416" t="str">
        <f t="shared" si="2"/>
        <v>Nijhuis Bulbpomp</v>
      </c>
      <c r="I29" s="416" t="str">
        <f t="shared" si="3"/>
        <v>Axiaal</v>
      </c>
      <c r="J29" s="416">
        <f t="shared" si="4"/>
        <v>1.94000024</v>
      </c>
      <c r="K29" s="416">
        <f t="shared" si="6"/>
        <v>1.94000024</v>
      </c>
      <c r="L29" s="416">
        <v>1.3999999999999999E-6</v>
      </c>
      <c r="M29" s="416">
        <f t="shared" si="5"/>
        <v>1.94000024</v>
      </c>
      <c r="N29" s="416"/>
      <c r="O29" s="416"/>
      <c r="P29" s="416"/>
      <c r="Q29" s="416"/>
      <c r="R29" s="405"/>
      <c r="S29" s="405"/>
      <c r="T29" s="405"/>
      <c r="U29" s="405"/>
      <c r="V29" s="405"/>
      <c r="W29" s="405"/>
      <c r="X29" s="405"/>
      <c r="Y29" s="405"/>
      <c r="Z29" s="405"/>
      <c r="AA29" s="405"/>
      <c r="AB29" s="405"/>
      <c r="AC29" s="405"/>
      <c r="AD29" s="405"/>
      <c r="AE29" s="405"/>
      <c r="AF29" s="405"/>
      <c r="AG29" s="405"/>
      <c r="AH29" s="405"/>
      <c r="AI29" s="405"/>
    </row>
    <row r="30" spans="2:35">
      <c r="C30" s="177" t="str">
        <f>Vis!C31</f>
        <v>BVOP</v>
      </c>
      <c r="D30" s="177" t="str">
        <f>Vis!D31</f>
        <v>Axiaal</v>
      </c>
      <c r="E30" s="296">
        <f>IF(ISNUMBER(VLOOKUP(D30,Techniek!$C$93:$G$97,5,FALSE)),VLOOKUP(D30,Techniek!$C$93:$G$97,5,FALSE),"")</f>
        <v>1</v>
      </c>
      <c r="F30" s="296" t="str">
        <f>IF(ISNUMBER(VLOOKUP(C30,Vis!$B$112:$F$131,3,FALSE)),VLOOKUP(C30,Vis!$B$112:$F$131,3,FALSE),"")</f>
        <v/>
      </c>
      <c r="G30" s="222">
        <f t="shared" si="1"/>
        <v>1.0000015</v>
      </c>
      <c r="H30" s="416" t="str">
        <f t="shared" si="2"/>
        <v>BVOP</v>
      </c>
      <c r="I30" s="416" t="str">
        <f t="shared" si="3"/>
        <v>Axiaal</v>
      </c>
      <c r="J30" s="416">
        <f t="shared" si="4"/>
        <v>0</v>
      </c>
      <c r="K30" s="416">
        <f t="shared" si="6"/>
        <v>0</v>
      </c>
      <c r="L30" s="417">
        <v>1.5E-6</v>
      </c>
      <c r="M30" s="416">
        <f t="shared" si="5"/>
        <v>0</v>
      </c>
      <c r="N30" s="416"/>
      <c r="O30" s="416"/>
      <c r="P30" s="416"/>
      <c r="Q30" s="416"/>
      <c r="R30" s="405"/>
      <c r="S30" s="405"/>
      <c r="T30" s="405"/>
      <c r="U30" s="405"/>
      <c r="V30" s="405"/>
      <c r="W30" s="405"/>
      <c r="X30" s="405"/>
      <c r="Y30" s="405"/>
      <c r="Z30" s="405"/>
      <c r="AA30" s="405"/>
      <c r="AB30" s="405"/>
      <c r="AC30" s="405"/>
      <c r="AD30" s="405"/>
      <c r="AE30" s="405"/>
      <c r="AF30" s="405"/>
      <c r="AG30" s="405"/>
      <c r="AH30" s="405"/>
      <c r="AI30" s="405"/>
    </row>
    <row r="31" spans="2:35">
      <c r="C31" s="177" t="str">
        <f>Vis!C32</f>
        <v>Gesloten schroefpomp (compact)</v>
      </c>
      <c r="D31" s="177" t="str">
        <f>Vis!D32</f>
        <v>Axiaal</v>
      </c>
      <c r="E31" s="296">
        <f>IF(ISNUMBER(VLOOKUP(D31,Techniek!$C$93:$G$97,5,FALSE)),VLOOKUP(D31,Techniek!$C$93:$G$97,5,FALSE),"")</f>
        <v>1</v>
      </c>
      <c r="F31" s="296" t="str">
        <f>IF(ISNUMBER(VLOOKUP(C31,Vis!$B$112:$F$131,3,FALSE)),VLOOKUP(C31,Vis!$B$112:$F$131,3,FALSE),"")</f>
        <v/>
      </c>
      <c r="G31" s="222">
        <f t="shared" si="1"/>
        <v>1.0000016</v>
      </c>
      <c r="H31" s="416" t="str">
        <f t="shared" si="2"/>
        <v>Gesloten schroefpomp (compact)</v>
      </c>
      <c r="I31" s="416" t="str">
        <f t="shared" si="3"/>
        <v>Axiaal</v>
      </c>
      <c r="J31" s="416">
        <f t="shared" si="4"/>
        <v>0</v>
      </c>
      <c r="K31" s="416">
        <f t="shared" si="6"/>
        <v>0</v>
      </c>
      <c r="L31" s="416">
        <v>1.5999999999999999E-6</v>
      </c>
      <c r="M31" s="416">
        <f t="shared" si="5"/>
        <v>0</v>
      </c>
      <c r="N31" s="416"/>
      <c r="O31" s="416"/>
      <c r="P31" s="416"/>
      <c r="Q31" s="416"/>
      <c r="R31" s="405"/>
      <c r="S31" s="405"/>
      <c r="T31" s="405"/>
      <c r="U31" s="405"/>
      <c r="V31" s="405"/>
      <c r="W31" s="405"/>
      <c r="X31" s="405"/>
      <c r="Y31" s="405"/>
      <c r="Z31" s="405"/>
      <c r="AA31" s="405"/>
      <c r="AB31" s="405"/>
      <c r="AC31" s="405"/>
      <c r="AD31" s="405"/>
      <c r="AE31" s="405"/>
      <c r="AF31" s="405"/>
      <c r="AG31" s="405"/>
      <c r="AH31" s="405"/>
      <c r="AI31" s="405"/>
    </row>
    <row r="32" spans="2:35">
      <c r="C32" s="177" t="str">
        <f>Vis!C33</f>
        <v>Gesloten schroefpomp</v>
      </c>
      <c r="D32" s="177" t="str">
        <f>Vis!D33</f>
        <v>Axiaal</v>
      </c>
      <c r="E32" s="296">
        <f>IF(ISNUMBER(VLOOKUP(D32,Techniek!$C$93:$G$97,5,FALSE)),VLOOKUP(D32,Techniek!$C$93:$G$97,5,FALSE),"")</f>
        <v>1</v>
      </c>
      <c r="F32" s="296">
        <f>IF(ISNUMBER(VLOOKUP(C32,Vis!$B$112:$F$131,3,FALSE)),VLOOKUP(C32,Vis!$B$112:$F$131,3,FALSE),"")</f>
        <v>0.86500015000000008</v>
      </c>
      <c r="G32" s="222">
        <f t="shared" si="1"/>
        <v>2.7300020000000003</v>
      </c>
      <c r="H32" s="416" t="str">
        <f t="shared" si="2"/>
        <v>Gesloten schroefpomp</v>
      </c>
      <c r="I32" s="416" t="str">
        <f t="shared" si="3"/>
        <v>Axiaal</v>
      </c>
      <c r="J32" s="416">
        <f t="shared" si="4"/>
        <v>1.7300003000000002</v>
      </c>
      <c r="K32" s="416">
        <f t="shared" si="6"/>
        <v>1.7300003000000002</v>
      </c>
      <c r="L32" s="416">
        <v>1.7E-6</v>
      </c>
      <c r="M32" s="416">
        <f t="shared" si="5"/>
        <v>1.7300003000000002</v>
      </c>
      <c r="N32" s="416"/>
      <c r="O32" s="416"/>
      <c r="P32" s="416"/>
      <c r="Q32" s="416"/>
      <c r="R32" s="405"/>
      <c r="S32" s="405"/>
      <c r="T32" s="405"/>
      <c r="U32" s="405"/>
      <c r="V32" s="405"/>
      <c r="W32" s="405"/>
      <c r="X32" s="405"/>
      <c r="Y32" s="405"/>
      <c r="Z32" s="405"/>
      <c r="AA32" s="405"/>
      <c r="AB32" s="405"/>
      <c r="AC32" s="405"/>
      <c r="AD32" s="405"/>
      <c r="AE32" s="405"/>
      <c r="AF32" s="405"/>
      <c r="AG32" s="405"/>
      <c r="AH32" s="405"/>
      <c r="AI32" s="405"/>
    </row>
    <row r="33" spans="2:35">
      <c r="C33" s="177" t="str">
        <f>Vis!C34</f>
        <v>Gesloten schroefpomp FFI</v>
      </c>
      <c r="D33" s="177" t="str">
        <f>Vis!D34</f>
        <v>Axiaal</v>
      </c>
      <c r="E33" s="296">
        <f>IF(ISNUMBER(VLOOKUP(D33,Techniek!$C$93:$G$97,5,FALSE)),VLOOKUP(D33,Techniek!$C$93:$G$97,5,FALSE),"")</f>
        <v>1</v>
      </c>
      <c r="F33" s="296">
        <f>IF(ISNUMBER(VLOOKUP(C33,Vis!$B$112:$F$131,3,FALSE)),VLOOKUP(C33,Vis!$B$112:$F$131,3,FALSE),"")</f>
        <v>1.0000001599999999</v>
      </c>
      <c r="G33" s="222">
        <f t="shared" si="1"/>
        <v>3.00000212</v>
      </c>
      <c r="H33" s="416" t="str">
        <f t="shared" si="2"/>
        <v>Gesloten schroefpomp FFI</v>
      </c>
      <c r="I33" s="416" t="str">
        <f t="shared" si="3"/>
        <v>Axiaal</v>
      </c>
      <c r="J33" s="416">
        <f t="shared" si="4"/>
        <v>2.0000003199999998</v>
      </c>
      <c r="K33" s="416">
        <f t="shared" si="6"/>
        <v>2.0000003199999998</v>
      </c>
      <c r="L33" s="417">
        <v>1.7999999999999999E-6</v>
      </c>
      <c r="M33" s="416">
        <f t="shared" si="5"/>
        <v>2.0000003199999998</v>
      </c>
      <c r="N33" s="416"/>
      <c r="O33" s="416"/>
      <c r="P33" s="416"/>
      <c r="Q33" s="416"/>
      <c r="R33" s="405"/>
      <c r="S33" s="405"/>
      <c r="T33" s="405"/>
      <c r="U33" s="405"/>
      <c r="V33" s="405"/>
      <c r="W33" s="405"/>
      <c r="X33" s="405"/>
      <c r="Y33" s="405"/>
      <c r="Z33" s="405"/>
      <c r="AA33" s="405"/>
      <c r="AB33" s="405"/>
      <c r="AC33" s="405"/>
      <c r="AD33" s="405"/>
      <c r="AE33" s="405"/>
      <c r="AF33" s="405"/>
      <c r="AG33" s="405"/>
      <c r="AH33" s="405"/>
      <c r="AI33" s="405"/>
    </row>
    <row r="34" spans="2:35">
      <c r="C34" s="177" t="str">
        <f>Vis!C35</f>
        <v>Horizontale schroefpomp (kattenrug)</v>
      </c>
      <c r="D34" s="177" t="str">
        <f>Vis!D35</f>
        <v>Axiaal</v>
      </c>
      <c r="E34" s="296">
        <f>IF(ISNUMBER(VLOOKUP(D34,Techniek!$C$93:$G$97,5,FALSE)),VLOOKUP(D34,Techniek!$C$93:$G$97,5,FALSE),"")</f>
        <v>1</v>
      </c>
      <c r="F34" s="296">
        <f>IF(ISNUMBER(VLOOKUP(C34,Vis!$B$112:$F$131,3,FALSE)),VLOOKUP(C34,Vis!$B$112:$F$131,3,FALSE),"")</f>
        <v>0.95</v>
      </c>
      <c r="G34" s="222">
        <f t="shared" si="1"/>
        <v>1</v>
      </c>
      <c r="H34" s="416" t="str">
        <f t="shared" si="2"/>
        <v>Horizontale schroefpomp (kattenrug)</v>
      </c>
      <c r="I34" s="416" t="str">
        <f t="shared" si="3"/>
        <v>Axiaal</v>
      </c>
      <c r="J34" s="416"/>
      <c r="K34" s="416"/>
      <c r="L34" s="417"/>
      <c r="M34" s="416"/>
      <c r="N34" s="416"/>
      <c r="O34" s="416"/>
      <c r="P34" s="416"/>
      <c r="Q34" s="416"/>
      <c r="R34" s="405"/>
      <c r="S34" s="405"/>
      <c r="T34" s="405"/>
      <c r="U34" s="405"/>
      <c r="V34" s="405"/>
      <c r="W34" s="405"/>
      <c r="X34" s="405"/>
      <c r="Y34" s="405"/>
      <c r="Z34" s="405"/>
      <c r="AA34" s="405"/>
      <c r="AB34" s="405"/>
      <c r="AC34" s="405"/>
      <c r="AD34" s="405"/>
      <c r="AE34" s="405"/>
      <c r="AF34" s="405"/>
      <c r="AG34" s="405"/>
      <c r="AH34" s="405"/>
      <c r="AI34" s="405"/>
    </row>
    <row r="35" spans="2:35">
      <c r="C35" s="177" t="str">
        <f>Vis!C36</f>
        <v>Open schroefpomp</v>
      </c>
      <c r="D35" s="177" t="str">
        <f>Vis!D36</f>
        <v>Axiaal</v>
      </c>
      <c r="E35" s="296">
        <f>IF(ISNUMBER(VLOOKUP(D35,Techniek!$C$93:$G$97,5,FALSE)),VLOOKUP(D35,Techniek!$C$93:$G$97,5,FALSE),"")</f>
        <v>1</v>
      </c>
      <c r="F35" s="296" t="str">
        <f>IF(ISNUMBER(VLOOKUP(C35,Vis!$B$112:$F$131,3,FALSE)),VLOOKUP(C35,Vis!$B$112:$F$131,3,FALSE),"")</f>
        <v/>
      </c>
      <c r="G35" s="222">
        <f t="shared" si="1"/>
        <v>1.0000019</v>
      </c>
      <c r="H35" s="416" t="str">
        <f t="shared" si="2"/>
        <v>Open schroefpomp</v>
      </c>
      <c r="I35" s="416" t="str">
        <f t="shared" si="3"/>
        <v>Axiaal</v>
      </c>
      <c r="J35" s="416">
        <f t="shared" si="4"/>
        <v>0</v>
      </c>
      <c r="K35" s="416">
        <f t="shared" si="6"/>
        <v>0</v>
      </c>
      <c r="L35" s="416">
        <v>1.9E-6</v>
      </c>
      <c r="M35" s="416">
        <f t="shared" si="5"/>
        <v>0</v>
      </c>
      <c r="N35" s="416"/>
      <c r="O35" s="416"/>
      <c r="P35" s="416"/>
      <c r="Q35" s="416"/>
      <c r="R35" s="405"/>
      <c r="S35" s="405"/>
      <c r="T35" s="405"/>
      <c r="U35" s="405"/>
      <c r="V35" s="405"/>
      <c r="W35" s="405"/>
      <c r="X35" s="405"/>
      <c r="Y35" s="405"/>
      <c r="Z35" s="405"/>
      <c r="AA35" s="405"/>
      <c r="AB35" s="405"/>
      <c r="AC35" s="405"/>
      <c r="AD35" s="405"/>
      <c r="AE35" s="405"/>
      <c r="AF35" s="405"/>
      <c r="AG35" s="405"/>
      <c r="AH35" s="405"/>
      <c r="AI35" s="405"/>
    </row>
    <row r="36" spans="2:35">
      <c r="C36" s="177" t="str">
        <f>Vis!C37</f>
        <v>Schroefpomp</v>
      </c>
      <c r="D36" s="177" t="str">
        <f>Vis!D37</f>
        <v>Axiaal</v>
      </c>
      <c r="E36" s="296">
        <f>IF(ISNUMBER(VLOOKUP(D36,Techniek!$C$93:$G$97,5,FALSE)),VLOOKUP(D36,Techniek!$C$93:$G$97,5,FALSE),"")</f>
        <v>1</v>
      </c>
      <c r="F36" s="296">
        <f>IF(ISNUMBER(VLOOKUP(C36,Vis!$B$112:$F$131,3,FALSE)),VLOOKUP(C36,Vis!$B$112:$F$131,3,FALSE),"")</f>
        <v>0.80800017999999996</v>
      </c>
      <c r="G36" s="222">
        <f t="shared" si="1"/>
        <v>2.61600236</v>
      </c>
      <c r="H36" s="416" t="str">
        <f t="shared" si="2"/>
        <v>Schroefpomp</v>
      </c>
      <c r="I36" s="416" t="str">
        <f t="shared" si="3"/>
        <v>Axiaal</v>
      </c>
      <c r="J36" s="416">
        <f t="shared" si="4"/>
        <v>1.6160003599999999</v>
      </c>
      <c r="K36" s="416">
        <f t="shared" si="6"/>
        <v>1.6160003599999999</v>
      </c>
      <c r="L36" s="416">
        <v>1.9999999999999999E-6</v>
      </c>
      <c r="M36" s="416">
        <f t="shared" si="5"/>
        <v>1.6160003599999999</v>
      </c>
      <c r="N36" s="416"/>
      <c r="O36" s="416"/>
      <c r="P36" s="416"/>
      <c r="Q36" s="416"/>
      <c r="R36" s="405"/>
      <c r="S36" s="405"/>
      <c r="T36" s="405"/>
      <c r="U36" s="405"/>
      <c r="V36" s="405"/>
      <c r="W36" s="405"/>
      <c r="X36" s="405"/>
      <c r="Y36" s="405"/>
      <c r="Z36" s="405"/>
      <c r="AA36" s="405"/>
      <c r="AB36" s="405"/>
      <c r="AC36" s="405"/>
      <c r="AD36" s="405"/>
      <c r="AE36" s="405"/>
      <c r="AF36" s="405"/>
      <c r="AG36" s="405"/>
      <c r="AH36" s="405"/>
      <c r="AI36" s="405"/>
    </row>
    <row r="37" spans="2:35">
      <c r="C37" s="177" t="str">
        <f>Vis!C38</f>
        <v>Faunapomp</v>
      </c>
      <c r="D37" s="177" t="str">
        <f>Vis!D38</f>
        <v>Drukpomp</v>
      </c>
      <c r="E37" s="296" t="str">
        <f>IF(ISNUMBER(VLOOKUP(D37,Techniek!$C$93:$G$97,5,FALSE)),VLOOKUP(D37,Techniek!$C$93:$G$97,5,FALSE),"")</f>
        <v/>
      </c>
      <c r="F37" s="296">
        <f>IF(ISNUMBER(VLOOKUP(C37,Vis!$B$112:$F$131,3,FALSE)),VLOOKUP(C37,Vis!$B$112:$F$131,3,FALSE),"")</f>
        <v>1.00000019</v>
      </c>
      <c r="G37" s="222" t="str">
        <f t="shared" si="1"/>
        <v/>
      </c>
      <c r="H37" s="416" t="str">
        <f t="shared" si="2"/>
        <v>Faunapomp</v>
      </c>
      <c r="I37" s="416" t="str">
        <f t="shared" si="3"/>
        <v>Drukpomp</v>
      </c>
      <c r="J37" s="416">
        <f t="shared" si="4"/>
        <v>2.0000003799999999</v>
      </c>
      <c r="K37" s="416">
        <f t="shared" si="6"/>
        <v>2.0000003799999999</v>
      </c>
      <c r="L37" s="417">
        <v>2.0999999999999998E-6</v>
      </c>
      <c r="M37" s="416">
        <f t="shared" si="5"/>
        <v>2.0000003799999999</v>
      </c>
      <c r="N37" s="416"/>
      <c r="O37" s="416"/>
      <c r="P37" s="416"/>
      <c r="Q37" s="416"/>
      <c r="R37" s="405"/>
      <c r="S37" s="405"/>
      <c r="T37" s="405"/>
      <c r="U37" s="405"/>
      <c r="V37" s="405"/>
      <c r="W37" s="405"/>
      <c r="X37" s="405"/>
      <c r="Y37" s="405"/>
      <c r="Z37" s="405"/>
      <c r="AA37" s="405"/>
      <c r="AB37" s="405"/>
      <c r="AC37" s="405"/>
      <c r="AD37" s="405"/>
      <c r="AE37" s="405"/>
      <c r="AF37" s="405"/>
      <c r="AG37" s="405"/>
      <c r="AH37" s="405"/>
      <c r="AI37" s="405"/>
    </row>
    <row r="38" spans="2:35">
      <c r="C38" s="177" t="str">
        <f>Vis!C39</f>
        <v>Schepradgemaal</v>
      </c>
      <c r="D38" s="177" t="str">
        <f>Vis!D39</f>
        <v>Scheprad</v>
      </c>
      <c r="E38" s="296" t="str">
        <f>IF(ISNUMBER(VLOOKUP(D38,Techniek!$C$93:$G$97,5,FALSE)),VLOOKUP(D38,Techniek!$C$93:$G$97,5,FALSE),"")</f>
        <v/>
      </c>
      <c r="F38" s="296">
        <f>IF(ISNUMBER(VLOOKUP(C38,Vis!$B$112:$F$131,3,FALSE)),VLOOKUP(C38,Vis!$B$112:$F$131,3,FALSE),"")</f>
        <v>1.0000002000000001</v>
      </c>
      <c r="G38" s="222" t="str">
        <f t="shared" si="1"/>
        <v/>
      </c>
      <c r="H38" s="416" t="str">
        <f t="shared" si="2"/>
        <v>Schepradgemaal</v>
      </c>
      <c r="I38" s="416" t="str">
        <f t="shared" si="3"/>
        <v>Scheprad</v>
      </c>
      <c r="J38" s="416">
        <f>IF(ISNUMBER(F38),($F$14*F38),0)</f>
        <v>2.0000004000000002</v>
      </c>
      <c r="K38" s="416">
        <f t="shared" si="6"/>
        <v>2.0000004000000002</v>
      </c>
      <c r="L38" s="416">
        <v>2.2000000000000001E-6</v>
      </c>
      <c r="M38" s="416">
        <f t="shared" si="5"/>
        <v>2.0000004000000002</v>
      </c>
      <c r="N38" s="416"/>
      <c r="O38" s="416"/>
      <c r="P38" s="416"/>
      <c r="Q38" s="416"/>
      <c r="R38" s="405"/>
      <c r="S38" s="405"/>
      <c r="T38" s="405"/>
      <c r="U38" s="405"/>
      <c r="V38" s="405"/>
      <c r="W38" s="405"/>
      <c r="X38" s="405"/>
      <c r="Y38" s="405"/>
      <c r="Z38" s="405"/>
      <c r="AA38" s="405"/>
      <c r="AB38" s="405"/>
      <c r="AC38" s="405"/>
      <c r="AD38" s="405"/>
      <c r="AE38" s="405"/>
      <c r="AF38" s="405"/>
      <c r="AG38" s="405"/>
      <c r="AH38" s="405"/>
      <c r="AI38" s="405"/>
    </row>
    <row r="39" spans="2:35">
      <c r="E39" s="237"/>
      <c r="F39" s="214"/>
      <c r="G39" s="296">
        <v>0</v>
      </c>
      <c r="H39" s="420" t="s">
        <v>12</v>
      </c>
      <c r="I39" s="416"/>
      <c r="J39" s="405"/>
      <c r="K39" s="405"/>
      <c r="L39" s="405"/>
      <c r="M39" s="405"/>
      <c r="N39" s="405"/>
      <c r="O39" s="405"/>
      <c r="P39" s="405"/>
      <c r="Q39" s="405"/>
      <c r="R39" s="405"/>
      <c r="S39" s="405"/>
      <c r="T39" s="405"/>
      <c r="U39" s="405"/>
      <c r="V39" s="405"/>
      <c r="W39" s="405"/>
      <c r="X39" s="405"/>
      <c r="Y39" s="405"/>
      <c r="Z39" s="405"/>
      <c r="AA39" s="405"/>
      <c r="AB39" s="405"/>
      <c r="AC39" s="405"/>
      <c r="AD39" s="405"/>
      <c r="AE39" s="405"/>
      <c r="AF39" s="405"/>
      <c r="AG39" s="405"/>
      <c r="AH39" s="405"/>
      <c r="AI39" s="405"/>
    </row>
    <row r="40" spans="2:35">
      <c r="C40" s="229" t="s">
        <v>342</v>
      </c>
      <c r="E40" s="237"/>
      <c r="F40" s="214"/>
      <c r="H40" s="406"/>
      <c r="I40" s="405"/>
      <c r="J40" s="405"/>
      <c r="K40" s="405"/>
      <c r="L40" s="405"/>
      <c r="M40" s="405"/>
      <c r="N40" s="405"/>
      <c r="O40" s="405"/>
      <c r="P40" s="405"/>
      <c r="Q40" s="405"/>
      <c r="R40" s="405"/>
      <c r="S40" s="405"/>
      <c r="T40" s="405"/>
      <c r="U40" s="405"/>
      <c r="V40" s="405"/>
      <c r="W40" s="405"/>
      <c r="X40" s="405"/>
      <c r="Y40" s="405"/>
      <c r="Z40" s="405"/>
      <c r="AA40" s="405"/>
      <c r="AB40" s="405"/>
      <c r="AC40" s="405"/>
      <c r="AD40" s="405"/>
      <c r="AE40" s="405"/>
      <c r="AF40" s="405"/>
      <c r="AG40" s="405"/>
      <c r="AH40" s="405"/>
      <c r="AI40" s="405"/>
    </row>
    <row r="41" spans="2:35">
      <c r="C41" s="229" t="s">
        <v>343</v>
      </c>
      <c r="H41" s="405"/>
      <c r="I41" s="405"/>
      <c r="J41" s="405"/>
      <c r="K41" s="405"/>
      <c r="L41" s="405"/>
      <c r="M41" s="405"/>
      <c r="N41" s="405"/>
      <c r="O41" s="405"/>
      <c r="P41" s="405"/>
      <c r="Q41" s="405"/>
      <c r="R41" s="405"/>
      <c r="S41" s="405"/>
      <c r="T41" s="405"/>
      <c r="U41" s="405"/>
      <c r="V41" s="405"/>
      <c r="W41" s="405"/>
      <c r="X41" s="405"/>
      <c r="Y41" s="405"/>
      <c r="Z41" s="405"/>
      <c r="AA41" s="405"/>
      <c r="AB41" s="405"/>
      <c r="AC41" s="405"/>
      <c r="AD41" s="405"/>
      <c r="AE41" s="405"/>
      <c r="AF41" s="405"/>
      <c r="AG41" s="405"/>
      <c r="AH41" s="405"/>
      <c r="AI41" s="405"/>
    </row>
    <row r="42" spans="2:35">
      <c r="H42" s="405"/>
      <c r="I42" s="405"/>
      <c r="J42" s="405"/>
      <c r="K42" s="405"/>
      <c r="L42" s="405"/>
      <c r="M42" s="405"/>
      <c r="N42" s="405"/>
      <c r="O42" s="405"/>
      <c r="P42" s="405"/>
      <c r="Q42" s="405"/>
      <c r="R42" s="405"/>
      <c r="S42" s="405"/>
      <c r="T42" s="405"/>
      <c r="U42" s="405"/>
      <c r="V42" s="405"/>
      <c r="W42" s="405"/>
      <c r="X42" s="405"/>
      <c r="Y42" s="405"/>
      <c r="Z42" s="405"/>
      <c r="AA42" s="405"/>
      <c r="AB42" s="405"/>
      <c r="AC42" s="405"/>
      <c r="AD42" s="405"/>
      <c r="AE42" s="405"/>
      <c r="AF42" s="405"/>
      <c r="AG42" s="405"/>
      <c r="AH42" s="405"/>
      <c r="AI42" s="405"/>
    </row>
    <row r="43" spans="2:35">
      <c r="B43" s="427">
        <v>2</v>
      </c>
      <c r="C43" s="191" t="s">
        <v>278</v>
      </c>
      <c r="D43" s="191"/>
      <c r="E43" s="191"/>
      <c r="F43" s="191"/>
      <c r="G43" s="191"/>
      <c r="H43" s="407"/>
      <c r="I43" s="407"/>
      <c r="J43" s="407"/>
      <c r="K43" s="407"/>
      <c r="L43" s="407"/>
      <c r="M43" s="405"/>
      <c r="N43" s="405"/>
      <c r="O43" s="405"/>
      <c r="P43" s="405"/>
      <c r="Q43" s="405"/>
      <c r="R43" s="405"/>
      <c r="S43" s="405"/>
      <c r="T43" s="405"/>
      <c r="U43" s="405"/>
      <c r="V43" s="405"/>
      <c r="W43" s="405"/>
      <c r="X43" s="405"/>
      <c r="Y43" s="405"/>
      <c r="Z43" s="405"/>
      <c r="AA43" s="405"/>
      <c r="AB43" s="405"/>
      <c r="AC43" s="405"/>
      <c r="AD43" s="405"/>
      <c r="AE43" s="405"/>
      <c r="AF43" s="405"/>
      <c r="AG43" s="405"/>
      <c r="AH43" s="405"/>
      <c r="AI43" s="405"/>
    </row>
    <row r="44" spans="2:35">
      <c r="B44" s="427"/>
    </row>
    <row r="45" spans="2:35">
      <c r="B45" s="427"/>
    </row>
    <row r="46" spans="2:35" ht="12.75" customHeight="1">
      <c r="B46" s="212"/>
      <c r="C46" s="198" t="s">
        <v>252</v>
      </c>
      <c r="D46" s="198" t="s">
        <v>277</v>
      </c>
      <c r="E46" s="198" t="s">
        <v>286</v>
      </c>
    </row>
    <row r="47" spans="2:35" ht="16.5" customHeight="1">
      <c r="C47" s="197" t="s">
        <v>42</v>
      </c>
      <c r="D47" s="308">
        <v>1</v>
      </c>
      <c r="E47" s="431"/>
      <c r="F47" s="432"/>
      <c r="G47" s="432"/>
      <c r="H47" s="432"/>
      <c r="I47" s="432"/>
      <c r="J47" s="432"/>
      <c r="K47" s="432"/>
      <c r="L47" s="433"/>
    </row>
    <row r="48" spans="2:35" ht="16.5" customHeight="1">
      <c r="C48" s="197" t="s">
        <v>266</v>
      </c>
      <c r="D48" s="308">
        <v>1</v>
      </c>
      <c r="E48" s="431"/>
      <c r="F48" s="432"/>
      <c r="G48" s="432"/>
      <c r="H48" s="432"/>
      <c r="I48" s="432"/>
      <c r="J48" s="432"/>
      <c r="K48" s="432"/>
      <c r="L48" s="433"/>
    </row>
    <row r="49" spans="2:26" ht="16.5" customHeight="1">
      <c r="C49" s="197" t="s">
        <v>43</v>
      </c>
      <c r="D49" s="308">
        <v>1</v>
      </c>
      <c r="E49" s="431"/>
      <c r="F49" s="432"/>
      <c r="G49" s="432"/>
      <c r="H49" s="432"/>
      <c r="I49" s="432"/>
      <c r="J49" s="432"/>
      <c r="K49" s="432"/>
      <c r="L49" s="433"/>
    </row>
    <row r="50" spans="2:26" ht="16.5" customHeight="1">
      <c r="C50" s="197" t="s">
        <v>44</v>
      </c>
      <c r="D50" s="308">
        <v>1</v>
      </c>
      <c r="E50" s="431"/>
      <c r="F50" s="432"/>
      <c r="G50" s="432"/>
      <c r="H50" s="432"/>
      <c r="I50" s="432"/>
      <c r="J50" s="432"/>
      <c r="K50" s="432"/>
      <c r="L50" s="433"/>
    </row>
    <row r="51" spans="2:26" ht="16.5" customHeight="1">
      <c r="C51" s="197" t="s">
        <v>265</v>
      </c>
      <c r="D51" s="308">
        <v>1</v>
      </c>
      <c r="E51" s="431"/>
      <c r="F51" s="432"/>
      <c r="G51" s="432"/>
      <c r="H51" s="432"/>
      <c r="I51" s="432"/>
      <c r="J51" s="432"/>
      <c r="K51" s="432"/>
      <c r="L51" s="433"/>
    </row>
    <row r="52" spans="2:26" ht="16.5" customHeight="1">
      <c r="C52" s="197" t="s">
        <v>276</v>
      </c>
      <c r="D52" s="308">
        <v>1</v>
      </c>
      <c r="E52" s="431"/>
      <c r="F52" s="432"/>
      <c r="G52" s="432"/>
      <c r="H52" s="432"/>
      <c r="I52" s="432"/>
      <c r="J52" s="432"/>
      <c r="K52" s="432"/>
      <c r="L52" s="433"/>
      <c r="S52" s="177"/>
      <c r="T52" s="177"/>
      <c r="U52" s="177"/>
      <c r="V52" s="177"/>
    </row>
    <row r="53" spans="2:26" ht="16.5" customHeight="1">
      <c r="C53" s="197" t="s">
        <v>281</v>
      </c>
      <c r="D53" s="308">
        <v>2</v>
      </c>
      <c r="E53" s="431"/>
      <c r="F53" s="432"/>
      <c r="G53" s="432"/>
      <c r="H53" s="432"/>
      <c r="I53" s="432"/>
      <c r="J53" s="432"/>
      <c r="K53" s="432"/>
      <c r="L53" s="433"/>
      <c r="S53" s="177"/>
      <c r="T53" s="177"/>
      <c r="U53" s="177"/>
      <c r="V53" s="177"/>
    </row>
    <row r="54" spans="2:26" ht="16.5" customHeight="1">
      <c r="C54" s="206" t="s">
        <v>11</v>
      </c>
      <c r="D54" s="206">
        <v>2</v>
      </c>
      <c r="E54" s="214"/>
      <c r="S54" s="177"/>
      <c r="T54" s="177"/>
      <c r="U54" s="177"/>
      <c r="V54" s="177"/>
    </row>
    <row r="55" spans="2:26" ht="16.5" customHeight="1">
      <c r="B55" s="212"/>
      <c r="C55" s="206"/>
      <c r="D55" s="236"/>
      <c r="E55" s="172"/>
      <c r="F55" s="198"/>
      <c r="G55" s="198"/>
      <c r="H55" s="198"/>
      <c r="I55" s="198"/>
      <c r="J55" s="198"/>
      <c r="K55" s="198"/>
      <c r="L55" s="198"/>
      <c r="M55" s="198"/>
      <c r="S55" s="177"/>
      <c r="T55" s="177"/>
      <c r="U55" s="177"/>
      <c r="V55" s="177"/>
    </row>
    <row r="56" spans="2:26" ht="16.5" customHeight="1">
      <c r="B56" s="212"/>
      <c r="C56" s="172" t="s">
        <v>260</v>
      </c>
      <c r="E56" s="229" t="s">
        <v>295</v>
      </c>
      <c r="S56" s="177"/>
      <c r="T56" s="177"/>
      <c r="U56" s="177"/>
      <c r="V56" s="177"/>
    </row>
    <row r="57" spans="2:26" ht="16.5" customHeight="1">
      <c r="B57" s="212"/>
      <c r="C57" s="215"/>
      <c r="S57" s="177"/>
      <c r="T57" s="177"/>
      <c r="U57" s="177"/>
      <c r="V57" s="177"/>
    </row>
    <row r="58" spans="2:26" ht="16.5" customHeight="1">
      <c r="B58" s="212"/>
      <c r="C58" s="314" t="s">
        <v>322</v>
      </c>
      <c r="D58" s="312">
        <f>Techniek!C8</f>
        <v>75</v>
      </c>
      <c r="E58" s="315" t="s">
        <v>239</v>
      </c>
      <c r="G58" s="211"/>
      <c r="H58" s="411"/>
      <c r="I58" s="211"/>
      <c r="J58" s="211"/>
      <c r="K58" s="211"/>
      <c r="M58" s="211"/>
      <c r="N58" s="211"/>
      <c r="O58" s="211"/>
      <c r="P58" s="211"/>
      <c r="Q58" s="211"/>
      <c r="R58" s="211"/>
      <c r="S58" s="451"/>
      <c r="T58" s="451"/>
      <c r="U58" s="451"/>
      <c r="V58" s="451"/>
      <c r="W58" s="450"/>
      <c r="X58" s="450"/>
      <c r="Y58" s="450"/>
      <c r="Z58" s="450"/>
    </row>
    <row r="59" spans="2:26" ht="16.5" customHeight="1">
      <c r="B59" s="212"/>
      <c r="C59" s="215"/>
      <c r="F59" s="308"/>
      <c r="G59" s="211"/>
      <c r="H59" s="416"/>
      <c r="I59" s="211"/>
      <c r="J59" s="211"/>
      <c r="K59" s="211"/>
      <c r="L59" s="211"/>
      <c r="M59" s="211"/>
      <c r="N59" s="211"/>
      <c r="O59" s="211"/>
      <c r="P59" s="211"/>
      <c r="Q59" s="211"/>
      <c r="R59" s="211"/>
      <c r="S59" s="450"/>
      <c r="T59" s="451"/>
      <c r="U59" s="451"/>
      <c r="V59" s="451"/>
      <c r="W59" s="451"/>
      <c r="X59" s="450"/>
      <c r="Y59" s="450"/>
      <c r="Z59" s="450"/>
    </row>
    <row r="60" spans="2:26" ht="16.5" customHeight="1">
      <c r="B60" s="212"/>
      <c r="C60" s="239" t="s">
        <v>261</v>
      </c>
      <c r="D60" s="239" t="s">
        <v>251</v>
      </c>
      <c r="E60" s="239" t="s">
        <v>312</v>
      </c>
      <c r="F60" s="337" t="s">
        <v>259</v>
      </c>
      <c r="G60" s="207" t="s">
        <v>256</v>
      </c>
      <c r="H60" s="423"/>
      <c r="I60" s="197" t="s">
        <v>374</v>
      </c>
      <c r="N60" s="347" t="s">
        <v>367</v>
      </c>
      <c r="O60" s="177"/>
      <c r="P60" s="177"/>
      <c r="Q60" s="177"/>
      <c r="R60" s="177"/>
      <c r="S60" s="425" t="s">
        <v>338</v>
      </c>
      <c r="T60" s="417" t="s">
        <v>279</v>
      </c>
      <c r="U60" s="425" t="s">
        <v>339</v>
      </c>
      <c r="V60" s="425" t="s">
        <v>340</v>
      </c>
      <c r="W60" s="417" t="s">
        <v>256</v>
      </c>
      <c r="X60" s="416"/>
      <c r="Y60" s="450"/>
      <c r="Z60" s="450"/>
    </row>
    <row r="61" spans="2:26" ht="16.5" customHeight="1">
      <c r="B61" s="206"/>
      <c r="C61" s="177" t="str">
        <f t="shared" ref="C61:D63" si="7">C16</f>
        <v>Buisvijzel FFI</v>
      </c>
      <c r="D61" s="177" t="str">
        <f t="shared" si="7"/>
        <v>Vijzel</v>
      </c>
      <c r="E61" s="177" t="str">
        <f t="shared" ref="E61:E83" si="8">VLOOKUP(C61,$I$61:$S$83,3,FALSE)</f>
        <v>?</v>
      </c>
      <c r="F61" s="310">
        <v>1</v>
      </c>
      <c r="G61" s="296">
        <f>IF(ISNUMBER(W61),(IF(V61=1,W61,0)),0)</f>
        <v>2.640533473333333</v>
      </c>
      <c r="H61" s="424">
        <f>X61</f>
        <v>0.65386666666666671</v>
      </c>
      <c r="I61" s="289" t="str">
        <f>C61</f>
        <v>Buisvijzel FFI</v>
      </c>
      <c r="J61" s="290"/>
      <c r="K61" s="464" t="str">
        <f t="shared" ref="K61:K78" si="9">VLOOKUP(I61,$N$61:$Q$83,4,FALSE)</f>
        <v>?</v>
      </c>
      <c r="L61" s="291"/>
      <c r="M61" s="177"/>
      <c r="N61" s="289" t="s">
        <v>47</v>
      </c>
      <c r="O61" s="290"/>
      <c r="P61" s="290"/>
      <c r="Q61" s="339" t="s">
        <v>321</v>
      </c>
      <c r="R61" s="291"/>
      <c r="S61" s="426">
        <f>IF(F61=1,1,0)</f>
        <v>1</v>
      </c>
      <c r="T61" s="419">
        <f>VLOOKUP($D61,$C$47:$D$53,2,FALSE)</f>
        <v>1</v>
      </c>
      <c r="U61" s="426">
        <f t="shared" ref="U61:U83" si="10">IF(ISNUMBER(T61),(IF(T61=1,1,0)),0)</f>
        <v>1</v>
      </c>
      <c r="V61" s="426">
        <f>S61*U61</f>
        <v>1</v>
      </c>
      <c r="W61" s="424">
        <f t="shared" ref="W61:W67" si="11">IF(ISNUMBER(G16),(G16),"")</f>
        <v>2.640533473333333</v>
      </c>
      <c r="X61" s="424">
        <f t="shared" ref="X61:X67" si="12">IF(ISNUMBER(E16),(E16),"")</f>
        <v>0.65386666666666671</v>
      </c>
      <c r="Y61" s="450"/>
      <c r="Z61" s="450"/>
    </row>
    <row r="62" spans="2:26" ht="16.5" customHeight="1">
      <c r="B62" s="206"/>
      <c r="C62" s="177" t="str">
        <f t="shared" si="7"/>
        <v>De Wit vijzel</v>
      </c>
      <c r="D62" s="177" t="str">
        <f t="shared" si="7"/>
        <v>Vijzel</v>
      </c>
      <c r="E62" s="177" t="str">
        <f t="shared" si="8"/>
        <v>?</v>
      </c>
      <c r="F62" s="310">
        <v>1</v>
      </c>
      <c r="G62" s="296">
        <f t="shared" ref="G62:G83" si="13">IF(ISNUMBER(W62),(IF(V62=1,W62,0)),0)</f>
        <v>2.6472002200000002</v>
      </c>
      <c r="H62" s="424">
        <f t="shared" ref="H62:H83" si="14">X62</f>
        <v>0.65386666666666671</v>
      </c>
      <c r="I62" s="292" t="str">
        <f t="shared" ref="I62:I83" si="15">C62</f>
        <v>De Wit vijzel</v>
      </c>
      <c r="J62" s="177"/>
      <c r="K62" s="462" t="str">
        <f t="shared" si="9"/>
        <v>?</v>
      </c>
      <c r="L62" s="293"/>
      <c r="M62" s="177"/>
      <c r="N62" s="292" t="s">
        <v>50</v>
      </c>
      <c r="O62" s="177"/>
      <c r="P62" s="177"/>
      <c r="Q62" s="340" t="s">
        <v>311</v>
      </c>
      <c r="R62" s="293"/>
      <c r="S62" s="426">
        <f t="shared" ref="S62:T83" si="16">IF(F62=1,1,0)</f>
        <v>1</v>
      </c>
      <c r="T62" s="419">
        <f t="shared" ref="T62:T76" si="17">VLOOKUP($D62,$C$47:$D$53,2,FALSE)</f>
        <v>1</v>
      </c>
      <c r="U62" s="426">
        <f t="shared" si="10"/>
        <v>1</v>
      </c>
      <c r="V62" s="426">
        <f t="shared" ref="V62:V83" si="18">S62*U62</f>
        <v>1</v>
      </c>
      <c r="W62" s="424">
        <f t="shared" si="11"/>
        <v>2.6472002200000002</v>
      </c>
      <c r="X62" s="424">
        <f t="shared" si="12"/>
        <v>0.65386666666666671</v>
      </c>
      <c r="Y62" s="450"/>
      <c r="Z62" s="450"/>
    </row>
    <row r="63" spans="2:26" ht="16.5" customHeight="1">
      <c r="B63" s="206"/>
      <c r="C63" s="177" t="str">
        <f t="shared" si="7"/>
        <v>Vijzel</v>
      </c>
      <c r="D63" s="177" t="str">
        <f t="shared" si="7"/>
        <v>Vijzel</v>
      </c>
      <c r="E63" s="177" t="str">
        <f t="shared" si="8"/>
        <v>0 - &gt;1.000 m3/min</v>
      </c>
      <c r="F63" s="310">
        <v>1</v>
      </c>
      <c r="G63" s="296">
        <f t="shared" si="13"/>
        <v>2.5384824112820512</v>
      </c>
      <c r="H63" s="424">
        <f t="shared" si="14"/>
        <v>0.65386666666666671</v>
      </c>
      <c r="I63" s="292" t="str">
        <f t="shared" si="15"/>
        <v>Vijzel</v>
      </c>
      <c r="J63" s="177"/>
      <c r="K63" s="462" t="str">
        <f t="shared" si="9"/>
        <v>0 - &gt;1.000 m3/min</v>
      </c>
      <c r="L63" s="293"/>
      <c r="M63" s="177"/>
      <c r="N63" s="292" t="s">
        <v>45</v>
      </c>
      <c r="O63" s="177"/>
      <c r="P63" s="177"/>
      <c r="Q63" s="340" t="s">
        <v>325</v>
      </c>
      <c r="R63" s="293"/>
      <c r="S63" s="426">
        <f t="shared" si="16"/>
        <v>1</v>
      </c>
      <c r="T63" s="419">
        <f t="shared" si="17"/>
        <v>1</v>
      </c>
      <c r="U63" s="426">
        <f t="shared" si="10"/>
        <v>1</v>
      </c>
      <c r="V63" s="426">
        <f t="shared" si="18"/>
        <v>1</v>
      </c>
      <c r="W63" s="424">
        <f t="shared" si="11"/>
        <v>2.5384824112820512</v>
      </c>
      <c r="X63" s="424">
        <f t="shared" si="12"/>
        <v>0.65386666666666671</v>
      </c>
      <c r="Y63" s="450"/>
      <c r="Z63" s="450"/>
    </row>
    <row r="64" spans="2:26" ht="16.5" customHeight="1">
      <c r="B64" s="206"/>
      <c r="C64" s="177" t="str">
        <f t="shared" ref="C64:D66" si="19">C19</f>
        <v>Vijzel (Spaans Babcock)</v>
      </c>
      <c r="D64" s="177" t="str">
        <f t="shared" si="19"/>
        <v>Vijzel</v>
      </c>
      <c r="E64" s="177" t="str">
        <f t="shared" si="8"/>
        <v>0 - &gt;1.000 m3/min</v>
      </c>
      <c r="F64" s="310">
        <v>1</v>
      </c>
      <c r="G64" s="296">
        <f t="shared" si="13"/>
        <v>2.6538670666666664</v>
      </c>
      <c r="H64" s="424">
        <f t="shared" si="14"/>
        <v>0.65386666666666671</v>
      </c>
      <c r="I64" s="292" t="str">
        <f t="shared" si="15"/>
        <v>Vijzel (Spaans Babcock)</v>
      </c>
      <c r="J64" s="177"/>
      <c r="K64" s="462" t="str">
        <f t="shared" si="9"/>
        <v>0 - &gt;1.000 m3/min</v>
      </c>
      <c r="L64" s="293"/>
      <c r="M64" s="177"/>
      <c r="N64" s="292" t="s">
        <v>49</v>
      </c>
      <c r="O64" s="177"/>
      <c r="P64" s="177"/>
      <c r="Q64" s="340" t="s">
        <v>310</v>
      </c>
      <c r="R64" s="293"/>
      <c r="S64" s="426">
        <f t="shared" si="16"/>
        <v>1</v>
      </c>
      <c r="T64" s="419">
        <f t="shared" si="17"/>
        <v>1</v>
      </c>
      <c r="U64" s="426">
        <f>IF(ISNUMBER(T64),(IF(T64=1,1,0)),0)</f>
        <v>1</v>
      </c>
      <c r="V64" s="426">
        <f>S64*U64</f>
        <v>1</v>
      </c>
      <c r="W64" s="424">
        <f t="shared" si="11"/>
        <v>2.6538670666666664</v>
      </c>
      <c r="X64" s="424">
        <f t="shared" si="12"/>
        <v>0.65386666666666671</v>
      </c>
      <c r="Y64" s="450"/>
      <c r="Z64" s="450"/>
    </row>
    <row r="65" spans="2:26" ht="16.5" customHeight="1">
      <c r="B65" s="206"/>
      <c r="C65" s="177" t="str">
        <f t="shared" si="19"/>
        <v>Vijzel (Landustrie)</v>
      </c>
      <c r="D65" s="177" t="str">
        <f t="shared" si="19"/>
        <v>Vijzel</v>
      </c>
      <c r="E65" s="177" t="str">
        <f t="shared" si="8"/>
        <v>0 - &gt;1.000 m3/min</v>
      </c>
      <c r="F65" s="310">
        <v>1</v>
      </c>
      <c r="G65" s="296">
        <f t="shared" si="13"/>
        <v>2.6238671666666669</v>
      </c>
      <c r="H65" s="424">
        <f t="shared" si="14"/>
        <v>0.65386666666666671</v>
      </c>
      <c r="I65" s="292" t="str">
        <f t="shared" si="15"/>
        <v>Vijzel (Landustrie)</v>
      </c>
      <c r="J65" s="177"/>
      <c r="K65" s="462" t="str">
        <f t="shared" si="9"/>
        <v>0 - &gt;1.000 m3/min</v>
      </c>
      <c r="L65" s="293"/>
      <c r="M65" s="177"/>
      <c r="N65" s="292" t="s">
        <v>108</v>
      </c>
      <c r="O65" s="177"/>
      <c r="P65" s="177"/>
      <c r="Q65" s="340" t="s">
        <v>15</v>
      </c>
      <c r="R65" s="293"/>
      <c r="S65" s="426">
        <f t="shared" si="16"/>
        <v>1</v>
      </c>
      <c r="T65" s="419">
        <f t="shared" si="17"/>
        <v>1</v>
      </c>
      <c r="U65" s="426">
        <f>IF(ISNUMBER(T65),(IF(T65=1,1,0)),0)</f>
        <v>1</v>
      </c>
      <c r="V65" s="426">
        <f>S65*U65</f>
        <v>1</v>
      </c>
      <c r="W65" s="424">
        <f t="shared" si="11"/>
        <v>2.6238671666666669</v>
      </c>
      <c r="X65" s="424">
        <f t="shared" si="12"/>
        <v>0.65386666666666671</v>
      </c>
      <c r="Y65" s="450"/>
      <c r="Z65" s="450"/>
    </row>
    <row r="66" spans="2:26" ht="16.5" customHeight="1">
      <c r="B66" s="206"/>
      <c r="C66" s="177" t="str">
        <f t="shared" si="19"/>
        <v>Turbinevijzels</v>
      </c>
      <c r="D66" s="177" t="str">
        <f t="shared" si="19"/>
        <v>Turbinevijzel</v>
      </c>
      <c r="E66" s="177" t="str">
        <f t="shared" si="8"/>
        <v>?</v>
      </c>
      <c r="F66" s="310">
        <v>1</v>
      </c>
      <c r="G66" s="296">
        <f t="shared" si="13"/>
        <v>0</v>
      </c>
      <c r="H66" s="424" t="str">
        <f t="shared" si="14"/>
        <v/>
      </c>
      <c r="I66" s="292" t="str">
        <f t="shared" si="15"/>
        <v>Turbinevijzels</v>
      </c>
      <c r="J66" s="177"/>
      <c r="K66" s="462" t="str">
        <f t="shared" si="9"/>
        <v>?</v>
      </c>
      <c r="L66" s="293"/>
      <c r="M66" s="177"/>
      <c r="N66" s="292" t="s">
        <v>224</v>
      </c>
      <c r="O66" s="177"/>
      <c r="P66" s="177"/>
      <c r="Q66" s="340" t="s">
        <v>325</v>
      </c>
      <c r="R66" s="293"/>
      <c r="S66" s="426">
        <f t="shared" si="16"/>
        <v>1</v>
      </c>
      <c r="T66" s="419">
        <f t="shared" si="17"/>
        <v>1</v>
      </c>
      <c r="U66" s="426">
        <f>IF(ISNUMBER(T66),(IF(T66=1,1,0)),0)</f>
        <v>1</v>
      </c>
      <c r="V66" s="426">
        <f>S66*U66</f>
        <v>1</v>
      </c>
      <c r="W66" s="424" t="str">
        <f t="shared" si="11"/>
        <v/>
      </c>
      <c r="X66" s="424" t="str">
        <f t="shared" si="12"/>
        <v/>
      </c>
      <c r="Y66" s="450"/>
      <c r="Z66" s="450"/>
    </row>
    <row r="67" spans="2:26" ht="16.5" customHeight="1">
      <c r="B67" s="206"/>
      <c r="C67" s="177" t="str">
        <f>C22</f>
        <v>Centrifugaalpomp</v>
      </c>
      <c r="D67" s="177" t="str">
        <f>D22</f>
        <v>Radiaal</v>
      </c>
      <c r="E67" s="177" t="str">
        <f t="shared" si="8"/>
        <v>0 - 1.000 m3/min</v>
      </c>
      <c r="F67" s="310">
        <v>1</v>
      </c>
      <c r="G67" s="296">
        <f t="shared" si="13"/>
        <v>2.3447442343434344</v>
      </c>
      <c r="H67" s="424">
        <f t="shared" si="14"/>
        <v>0.4392888888888889</v>
      </c>
      <c r="I67" s="292" t="str">
        <f t="shared" si="15"/>
        <v>Centrifugaalpomp</v>
      </c>
      <c r="J67" s="177"/>
      <c r="K67" s="462" t="str">
        <f t="shared" si="9"/>
        <v>0 - 1.000 m3/min</v>
      </c>
      <c r="L67" s="293"/>
      <c r="M67" s="177"/>
      <c r="N67" s="292" t="s">
        <v>211</v>
      </c>
      <c r="O67" s="177"/>
      <c r="P67" s="177"/>
      <c r="Q67" s="340" t="s">
        <v>318</v>
      </c>
      <c r="R67" s="293"/>
      <c r="S67" s="426">
        <f t="shared" si="16"/>
        <v>1</v>
      </c>
      <c r="T67" s="419">
        <f t="shared" si="17"/>
        <v>1</v>
      </c>
      <c r="U67" s="426">
        <f>IF(ISNUMBER(T67),(IF(T67=1,1,0)),0)</f>
        <v>1</v>
      </c>
      <c r="V67" s="426">
        <f>S67*U67</f>
        <v>1</v>
      </c>
      <c r="W67" s="424">
        <f t="shared" si="11"/>
        <v>2.3447442343434344</v>
      </c>
      <c r="X67" s="424">
        <f t="shared" si="12"/>
        <v>0.4392888888888889</v>
      </c>
      <c r="Y67" s="450"/>
      <c r="Z67" s="450"/>
    </row>
    <row r="68" spans="2:26" ht="16.5" customHeight="1">
      <c r="B68" s="206"/>
      <c r="C68" s="177" t="str">
        <f>C23</f>
        <v>Amarex KRT</v>
      </c>
      <c r="D68" s="177" t="str">
        <f>D23</f>
        <v>Half-axiaal</v>
      </c>
      <c r="E68" s="177" t="str">
        <f t="shared" si="8"/>
        <v>12,5 m3/min*</v>
      </c>
      <c r="F68" s="310">
        <v>1</v>
      </c>
      <c r="G68" s="296">
        <f t="shared" si="13"/>
        <v>2.1891564755555559</v>
      </c>
      <c r="H68" s="424">
        <f t="shared" si="14"/>
        <v>0.18915555555555558</v>
      </c>
      <c r="I68" s="292" t="str">
        <f t="shared" si="15"/>
        <v>Amarex KRT</v>
      </c>
      <c r="J68" s="177"/>
      <c r="K68" s="462" t="str">
        <f t="shared" si="9"/>
        <v>12,5 m3/min*</v>
      </c>
      <c r="L68" s="293"/>
      <c r="M68" s="177"/>
      <c r="N68" s="292" t="s">
        <v>182</v>
      </c>
      <c r="O68" s="177"/>
      <c r="P68" s="177"/>
      <c r="Q68" s="340" t="s">
        <v>325</v>
      </c>
      <c r="R68" s="293"/>
      <c r="S68" s="426">
        <f t="shared" si="16"/>
        <v>1</v>
      </c>
      <c r="T68" s="419">
        <f t="shared" si="17"/>
        <v>1</v>
      </c>
      <c r="U68" s="426">
        <f t="shared" si="10"/>
        <v>1</v>
      </c>
      <c r="V68" s="426">
        <f t="shared" si="18"/>
        <v>1</v>
      </c>
      <c r="W68" s="424">
        <f>IF(ISNUMBER(G23),(G23),"")</f>
        <v>2.1891564755555559</v>
      </c>
      <c r="X68" s="424">
        <f>IF(ISNUMBER(E23),(E23),"")</f>
        <v>0.18915555555555558</v>
      </c>
      <c r="Y68" s="450"/>
      <c r="Z68" s="450"/>
    </row>
    <row r="69" spans="2:26" ht="16.5" customHeight="1">
      <c r="B69" s="206"/>
      <c r="C69" s="177" t="str">
        <f>C24</f>
        <v>BEVERON</v>
      </c>
      <c r="D69" s="177" t="str">
        <f>D24</f>
        <v>Half-axiaal</v>
      </c>
      <c r="E69" s="177" t="str">
        <f t="shared" si="8"/>
        <v>180 - 1.800 m3/min</v>
      </c>
      <c r="F69" s="310">
        <v>1</v>
      </c>
      <c r="G69" s="296">
        <f>IF(ISNUMBER(W69),(IF(V69=1,W69,0)),0)</f>
        <v>1.8991565955555556</v>
      </c>
      <c r="H69" s="424">
        <f t="shared" si="14"/>
        <v>0.18915555555555558</v>
      </c>
      <c r="I69" s="292" t="str">
        <f t="shared" si="15"/>
        <v>BEVERON</v>
      </c>
      <c r="J69" s="177"/>
      <c r="K69" s="462" t="str">
        <f t="shared" si="9"/>
        <v>180 - 1.800 m3/min</v>
      </c>
      <c r="L69" s="293"/>
      <c r="M69" s="177"/>
      <c r="N69" s="292" t="s">
        <v>173</v>
      </c>
      <c r="O69" s="177"/>
      <c r="P69" s="177"/>
      <c r="Q69" s="340" t="s">
        <v>325</v>
      </c>
      <c r="R69" s="293"/>
      <c r="S69" s="426">
        <f t="shared" si="16"/>
        <v>1</v>
      </c>
      <c r="T69" s="419">
        <f t="shared" si="17"/>
        <v>1</v>
      </c>
      <c r="U69" s="426">
        <f t="shared" si="10"/>
        <v>1</v>
      </c>
      <c r="V69" s="426">
        <f t="shared" si="18"/>
        <v>1</v>
      </c>
      <c r="W69" s="424">
        <f>IF(ISNUMBER(G24),(G24),"")</f>
        <v>1.8991565955555556</v>
      </c>
      <c r="X69" s="424">
        <f>IF(ISNUMBER(E24),(E24),"")</f>
        <v>0.18915555555555558</v>
      </c>
      <c r="Y69" s="450"/>
      <c r="Z69" s="450"/>
    </row>
    <row r="70" spans="2:26" ht="16.5" customHeight="1">
      <c r="B70" s="206"/>
      <c r="C70" s="177" t="str">
        <f>C25</f>
        <v>Hidrostal</v>
      </c>
      <c r="D70" s="177" t="str">
        <f>D25</f>
        <v>Half-axiaal</v>
      </c>
      <c r="E70" s="177" t="str">
        <f t="shared" si="8"/>
        <v>10-168 m3/min</v>
      </c>
      <c r="F70" s="310">
        <v>1</v>
      </c>
      <c r="G70" s="296">
        <f t="shared" si="13"/>
        <v>2.097490048888889</v>
      </c>
      <c r="H70" s="424">
        <f t="shared" si="14"/>
        <v>0.18915555555555558</v>
      </c>
      <c r="I70" s="292" t="str">
        <f t="shared" si="15"/>
        <v>Hidrostal</v>
      </c>
      <c r="J70" s="177"/>
      <c r="K70" s="462" t="str">
        <f t="shared" si="9"/>
        <v>10-168 m3/min</v>
      </c>
      <c r="L70" s="293"/>
      <c r="M70" s="177"/>
      <c r="N70" s="292" t="s">
        <v>219</v>
      </c>
      <c r="O70" s="177"/>
      <c r="P70" s="177"/>
      <c r="Q70" s="340" t="s">
        <v>313</v>
      </c>
      <c r="R70" s="293"/>
      <c r="S70" s="426">
        <f t="shared" si="16"/>
        <v>1</v>
      </c>
      <c r="T70" s="419">
        <f t="shared" si="17"/>
        <v>1</v>
      </c>
      <c r="U70" s="426">
        <f t="shared" si="10"/>
        <v>1</v>
      </c>
      <c r="V70" s="426">
        <f t="shared" si="18"/>
        <v>1</v>
      </c>
      <c r="W70" s="424">
        <f>IF(ISNUMBER(G25),(G25),"")</f>
        <v>2.097490048888889</v>
      </c>
      <c r="X70" s="424">
        <f>IF(ISNUMBER(E25),(E25),"")</f>
        <v>0.18915555555555558</v>
      </c>
      <c r="Y70" s="450"/>
      <c r="Z70" s="450"/>
    </row>
    <row r="71" spans="2:26" ht="16.5" customHeight="1">
      <c r="B71" s="206"/>
      <c r="C71" s="177" t="str">
        <f>C26</f>
        <v>half-axiaal pomp</v>
      </c>
      <c r="D71" s="177" t="str">
        <f>D26</f>
        <v>Half-axiaal</v>
      </c>
      <c r="E71" s="177" t="str">
        <f t="shared" si="8"/>
        <v>0 - 1.000 m3/min</v>
      </c>
      <c r="F71" s="310">
        <v>1</v>
      </c>
      <c r="G71" s="296">
        <f t="shared" si="13"/>
        <v>2.0458235022222224</v>
      </c>
      <c r="H71" s="424">
        <f t="shared" si="14"/>
        <v>0.18915555555555558</v>
      </c>
      <c r="I71" s="292" t="str">
        <f t="shared" si="15"/>
        <v>half-axiaal pomp</v>
      </c>
      <c r="J71" s="177"/>
      <c r="K71" s="462" t="str">
        <f t="shared" si="9"/>
        <v>0 - 1.000 m3/min</v>
      </c>
      <c r="L71" s="293"/>
      <c r="M71" s="177"/>
      <c r="N71" s="292" t="s">
        <v>411</v>
      </c>
      <c r="Q71" s="340" t="s">
        <v>412</v>
      </c>
      <c r="R71" s="293"/>
      <c r="S71" s="426">
        <f t="shared" si="16"/>
        <v>1</v>
      </c>
      <c r="T71" s="419">
        <f t="shared" si="17"/>
        <v>1</v>
      </c>
      <c r="U71" s="426">
        <f t="shared" si="10"/>
        <v>1</v>
      </c>
      <c r="V71" s="426">
        <f t="shared" si="18"/>
        <v>1</v>
      </c>
      <c r="W71" s="424">
        <f>IF(ISNUMBER(G26),(G26),"")</f>
        <v>2.0458235022222224</v>
      </c>
      <c r="X71" s="424">
        <f>IF(ISNUMBER(E26),(E26),"")</f>
        <v>0.18915555555555558</v>
      </c>
      <c r="Y71" s="450"/>
      <c r="Z71" s="450"/>
    </row>
    <row r="72" spans="2:26" ht="16.5" customHeight="1">
      <c r="B72" s="206"/>
      <c r="C72" s="177" t="str">
        <f>C27</f>
        <v>Visvriendelijke Hidrostal</v>
      </c>
      <c r="D72" s="177" t="str">
        <f>D27</f>
        <v>Half-axiaal</v>
      </c>
      <c r="E72" s="177" t="str">
        <f t="shared" si="8"/>
        <v>&lt;26,4 m3/min</v>
      </c>
      <c r="F72" s="310">
        <v>1</v>
      </c>
      <c r="G72" s="296">
        <f t="shared" si="13"/>
        <v>2.1891569555555557</v>
      </c>
      <c r="H72" s="424">
        <f t="shared" si="14"/>
        <v>0.18915555555555558</v>
      </c>
      <c r="I72" s="292" t="str">
        <f t="shared" si="15"/>
        <v>Visvriendelijke Hidrostal</v>
      </c>
      <c r="J72" s="177"/>
      <c r="K72" s="462" t="str">
        <f t="shared" si="9"/>
        <v>&lt;26,4 m3/min</v>
      </c>
      <c r="L72" s="293"/>
      <c r="M72" s="177"/>
      <c r="N72" s="292" t="s">
        <v>46</v>
      </c>
      <c r="O72" s="177"/>
      <c r="P72" s="177"/>
      <c r="Q72" s="340" t="s">
        <v>15</v>
      </c>
      <c r="R72" s="293"/>
      <c r="S72" s="426">
        <f t="shared" si="16"/>
        <v>1</v>
      </c>
      <c r="T72" s="419">
        <f t="shared" si="17"/>
        <v>1</v>
      </c>
      <c r="U72" s="426">
        <f t="shared" si="10"/>
        <v>1</v>
      </c>
      <c r="V72" s="426">
        <f t="shared" si="18"/>
        <v>1</v>
      </c>
      <c r="W72" s="424">
        <f>IF(ISNUMBER(G27),(G27),"")</f>
        <v>2.1891569555555557</v>
      </c>
      <c r="X72" s="424">
        <f>IF(ISNUMBER(E27),(E27),"")</f>
        <v>0.18915555555555558</v>
      </c>
      <c r="Y72" s="450"/>
      <c r="Z72" s="450"/>
    </row>
    <row r="73" spans="2:26" ht="16.5" customHeight="1">
      <c r="B73" s="206"/>
      <c r="C73" s="177" t="str">
        <f>C28</f>
        <v>VOPO met stroomomdraaiing</v>
      </c>
      <c r="D73" s="177" t="str">
        <f>D28</f>
        <v>Half-axiaal</v>
      </c>
      <c r="E73" s="177" t="str">
        <f t="shared" si="8"/>
        <v>25 m3/min*</v>
      </c>
      <c r="F73" s="310">
        <v>1</v>
      </c>
      <c r="G73" s="296">
        <f t="shared" si="13"/>
        <v>2.0691570755555557</v>
      </c>
      <c r="H73" s="424">
        <f t="shared" si="14"/>
        <v>0.18915555555555558</v>
      </c>
      <c r="I73" s="292" t="str">
        <f t="shared" si="15"/>
        <v>VOPO met stroomomdraaiing</v>
      </c>
      <c r="J73" s="177"/>
      <c r="K73" s="462" t="str">
        <f t="shared" si="9"/>
        <v>25 m3/min*</v>
      </c>
      <c r="L73" s="293"/>
      <c r="M73" s="177"/>
      <c r="N73" s="292" t="s">
        <v>153</v>
      </c>
      <c r="O73" s="177"/>
      <c r="P73" s="177"/>
      <c r="Q73" s="340" t="s">
        <v>315</v>
      </c>
      <c r="R73" s="293"/>
      <c r="S73" s="426">
        <f t="shared" si="16"/>
        <v>1</v>
      </c>
      <c r="T73" s="419">
        <f t="shared" si="17"/>
        <v>1</v>
      </c>
      <c r="U73" s="426">
        <f t="shared" si="10"/>
        <v>1</v>
      </c>
      <c r="V73" s="426">
        <f t="shared" si="18"/>
        <v>1</v>
      </c>
      <c r="W73" s="424">
        <f>IF(ISNUMBER(G28),(G28),"")</f>
        <v>2.0691570755555557</v>
      </c>
      <c r="X73" s="424">
        <f>IF(ISNUMBER(E28),(E28),"")</f>
        <v>0.18915555555555558</v>
      </c>
      <c r="Y73" s="450"/>
      <c r="Z73" s="450"/>
    </row>
    <row r="74" spans="2:26" ht="16.5" customHeight="1">
      <c r="B74" s="206"/>
      <c r="C74" s="177" t="str">
        <f>C29</f>
        <v>Nijhuis Bulbpomp</v>
      </c>
      <c r="D74" s="177" t="str">
        <f>D29</f>
        <v>Axiaal</v>
      </c>
      <c r="E74" s="177" t="str">
        <f t="shared" si="8"/>
        <v>3.000 m3/min*</v>
      </c>
      <c r="F74" s="310">
        <v>1</v>
      </c>
      <c r="G74" s="296">
        <f t="shared" si="13"/>
        <v>2.9400016399999997</v>
      </c>
      <c r="H74" s="424">
        <f t="shared" si="14"/>
        <v>1</v>
      </c>
      <c r="I74" s="292" t="str">
        <f t="shared" si="15"/>
        <v>Nijhuis Bulbpomp</v>
      </c>
      <c r="J74" s="177"/>
      <c r="K74" s="462" t="str">
        <f t="shared" si="9"/>
        <v>3.000 m3/min*</v>
      </c>
      <c r="L74" s="293"/>
      <c r="M74" s="177"/>
      <c r="N74" s="292" t="s">
        <v>218</v>
      </c>
      <c r="O74" s="177"/>
      <c r="P74" s="177"/>
      <c r="Q74" s="340" t="s">
        <v>319</v>
      </c>
      <c r="R74" s="293"/>
      <c r="S74" s="426">
        <f t="shared" si="16"/>
        <v>1</v>
      </c>
      <c r="T74" s="419">
        <f t="shared" si="17"/>
        <v>1</v>
      </c>
      <c r="U74" s="426">
        <f t="shared" si="10"/>
        <v>1</v>
      </c>
      <c r="V74" s="426">
        <f t="shared" si="18"/>
        <v>1</v>
      </c>
      <c r="W74" s="424">
        <f>IF(ISNUMBER(G29),(G29),"")</f>
        <v>2.9400016399999997</v>
      </c>
      <c r="X74" s="424">
        <f>IF(ISNUMBER(E29),(E29),"")</f>
        <v>1</v>
      </c>
      <c r="Y74" s="450"/>
      <c r="Z74" s="450"/>
    </row>
    <row r="75" spans="2:26" ht="16.5" customHeight="1">
      <c r="B75" s="206"/>
      <c r="C75" s="177" t="str">
        <f>C30</f>
        <v>BVOP</v>
      </c>
      <c r="D75" s="177" t="str">
        <f>D30</f>
        <v>Axiaal</v>
      </c>
      <c r="E75" s="177" t="str">
        <f t="shared" si="8"/>
        <v>12 - 360 m3/min</v>
      </c>
      <c r="F75" s="310">
        <v>1</v>
      </c>
      <c r="G75" s="296">
        <f t="shared" si="13"/>
        <v>1.0000015</v>
      </c>
      <c r="H75" s="424">
        <f t="shared" si="14"/>
        <v>1</v>
      </c>
      <c r="I75" s="292" t="str">
        <f t="shared" si="15"/>
        <v>BVOP</v>
      </c>
      <c r="J75" s="177"/>
      <c r="K75" s="462" t="str">
        <f t="shared" si="9"/>
        <v>12 - 360 m3/min</v>
      </c>
      <c r="L75" s="293"/>
      <c r="M75" s="177"/>
      <c r="N75" s="292" t="s">
        <v>192</v>
      </c>
      <c r="O75" s="177"/>
      <c r="P75" s="177"/>
      <c r="Q75" s="340" t="s">
        <v>325</v>
      </c>
      <c r="R75" s="293"/>
      <c r="S75" s="426">
        <f t="shared" si="16"/>
        <v>1</v>
      </c>
      <c r="T75" s="419">
        <f t="shared" si="17"/>
        <v>1</v>
      </c>
      <c r="U75" s="426">
        <f>IF(ISNUMBER(T75),(IF(T75=1,1,0)),0)</f>
        <v>1</v>
      </c>
      <c r="V75" s="426">
        <f t="shared" si="18"/>
        <v>1</v>
      </c>
      <c r="W75" s="424">
        <f>IF(ISNUMBER(G30),(G30),"")</f>
        <v>1.0000015</v>
      </c>
      <c r="X75" s="424">
        <f>IF(ISNUMBER(E30),(E30),"")</f>
        <v>1</v>
      </c>
      <c r="Y75" s="450"/>
      <c r="Z75" s="450"/>
    </row>
    <row r="76" spans="2:26" ht="16.5" customHeight="1">
      <c r="B76" s="206"/>
      <c r="C76" s="177" t="str">
        <f>C31</f>
        <v>Gesloten schroefpomp (compact)</v>
      </c>
      <c r="D76" s="177" t="str">
        <f>D31</f>
        <v>Axiaal</v>
      </c>
      <c r="E76" s="177" t="str">
        <f t="shared" si="8"/>
        <v>?</v>
      </c>
      <c r="F76" s="310">
        <v>1</v>
      </c>
      <c r="G76" s="296">
        <f t="shared" si="13"/>
        <v>1.0000016</v>
      </c>
      <c r="H76" s="424">
        <f t="shared" si="14"/>
        <v>1</v>
      </c>
      <c r="I76" s="292" t="str">
        <f t="shared" si="15"/>
        <v>Gesloten schroefpomp (compact)</v>
      </c>
      <c r="J76" s="177"/>
      <c r="K76" s="462" t="str">
        <f t="shared" si="9"/>
        <v>?</v>
      </c>
      <c r="L76" s="293"/>
      <c r="M76" s="177"/>
      <c r="N76" s="292" t="s">
        <v>208</v>
      </c>
      <c r="O76" s="177"/>
      <c r="P76" s="177"/>
      <c r="Q76" s="340" t="s">
        <v>14</v>
      </c>
      <c r="R76" s="293"/>
      <c r="S76" s="426">
        <f t="shared" si="16"/>
        <v>1</v>
      </c>
      <c r="T76" s="419">
        <f t="shared" si="17"/>
        <v>1</v>
      </c>
      <c r="U76" s="426">
        <f t="shared" si="10"/>
        <v>1</v>
      </c>
      <c r="V76" s="426">
        <f t="shared" si="18"/>
        <v>1</v>
      </c>
      <c r="W76" s="424">
        <f>IF(ISNUMBER(G31),(G31),"")</f>
        <v>1.0000016</v>
      </c>
      <c r="X76" s="424">
        <f>IF(ISNUMBER(E31),(E31),"")</f>
        <v>1</v>
      </c>
      <c r="Y76" s="450"/>
      <c r="Z76" s="450"/>
    </row>
    <row r="77" spans="2:26" ht="16.5" customHeight="1">
      <c r="B77" s="206"/>
      <c r="C77" s="177" t="str">
        <f>C32</f>
        <v>Gesloten schroefpomp</v>
      </c>
      <c r="D77" s="177" t="str">
        <f>D32</f>
        <v>Axiaal</v>
      </c>
      <c r="E77" s="177" t="str">
        <f t="shared" si="8"/>
        <v>?</v>
      </c>
      <c r="F77" s="310">
        <v>1</v>
      </c>
      <c r="G77" s="296">
        <f t="shared" si="13"/>
        <v>2.7300020000000003</v>
      </c>
      <c r="H77" s="424">
        <f t="shared" si="14"/>
        <v>1</v>
      </c>
      <c r="I77" s="292" t="str">
        <f t="shared" si="15"/>
        <v>Gesloten schroefpomp</v>
      </c>
      <c r="J77" s="177"/>
      <c r="K77" s="462" t="str">
        <f t="shared" si="9"/>
        <v>?</v>
      </c>
      <c r="L77" s="293"/>
      <c r="M77" s="177"/>
      <c r="N77" s="292" t="s">
        <v>205</v>
      </c>
      <c r="O77" s="177"/>
      <c r="P77" s="177"/>
      <c r="Q77" s="340" t="s">
        <v>13</v>
      </c>
      <c r="R77" s="293"/>
      <c r="S77" s="426">
        <f t="shared" si="16"/>
        <v>1</v>
      </c>
      <c r="T77" s="419">
        <f t="shared" ref="T77:T83" si="20">VLOOKUP($D77,$C$47:$D$54,2,FALSE)</f>
        <v>1</v>
      </c>
      <c r="U77" s="426">
        <f t="shared" si="10"/>
        <v>1</v>
      </c>
      <c r="V77" s="426">
        <f t="shared" si="18"/>
        <v>1</v>
      </c>
      <c r="W77" s="424">
        <f>IF(ISNUMBER(G32),(G32),"")</f>
        <v>2.7300020000000003</v>
      </c>
      <c r="X77" s="424">
        <f>IF(ISNUMBER(E32),(E32),"")</f>
        <v>1</v>
      </c>
      <c r="Y77" s="450"/>
      <c r="Z77" s="450"/>
    </row>
    <row r="78" spans="2:26" ht="16.5" customHeight="1">
      <c r="B78" s="206"/>
      <c r="C78" s="177" t="str">
        <f>C33</f>
        <v>Gesloten schroefpomp FFI</v>
      </c>
      <c r="D78" s="177" t="str">
        <f>D33</f>
        <v>Axiaal</v>
      </c>
      <c r="E78" s="177" t="str">
        <f t="shared" si="8"/>
        <v>25 - &gt;333 m3/min</v>
      </c>
      <c r="F78" s="310">
        <v>1</v>
      </c>
      <c r="G78" s="296">
        <f t="shared" si="13"/>
        <v>3.00000212</v>
      </c>
      <c r="H78" s="424">
        <f t="shared" si="14"/>
        <v>1</v>
      </c>
      <c r="I78" s="292" t="str">
        <f t="shared" si="15"/>
        <v>Gesloten schroefpomp FFI</v>
      </c>
      <c r="J78" s="177"/>
      <c r="K78" s="462" t="str">
        <f t="shared" si="9"/>
        <v>25 - &gt;333 m3/min</v>
      </c>
      <c r="L78" s="293"/>
      <c r="M78" s="177"/>
      <c r="N78" s="292" t="s">
        <v>99</v>
      </c>
      <c r="O78" s="177"/>
      <c r="P78" s="177"/>
      <c r="Q78" s="340" t="s">
        <v>325</v>
      </c>
      <c r="R78" s="293"/>
      <c r="S78" s="426">
        <f t="shared" si="16"/>
        <v>1</v>
      </c>
      <c r="T78" s="419">
        <f t="shared" si="20"/>
        <v>1</v>
      </c>
      <c r="U78" s="426">
        <f t="shared" si="10"/>
        <v>1</v>
      </c>
      <c r="V78" s="426">
        <f t="shared" si="18"/>
        <v>1</v>
      </c>
      <c r="W78" s="424">
        <f>IF(ISNUMBER(G33),(G33),"")</f>
        <v>3.00000212</v>
      </c>
      <c r="X78" s="424">
        <f>IF(ISNUMBER(E33),(E33),"")</f>
        <v>1</v>
      </c>
      <c r="Y78" s="450"/>
      <c r="Z78" s="450"/>
    </row>
    <row r="79" spans="2:26" ht="16.5" customHeight="1">
      <c r="B79" s="206"/>
      <c r="C79" s="177" t="str">
        <f>C34</f>
        <v>Horizontale schroefpomp (kattenrug)</v>
      </c>
      <c r="D79" s="177" t="str">
        <f>D34</f>
        <v>Axiaal</v>
      </c>
      <c r="E79" s="177" t="str">
        <f t="shared" si="8"/>
        <v>&gt;100 m3/min</v>
      </c>
      <c r="F79" s="310">
        <v>1</v>
      </c>
      <c r="G79" s="296">
        <f>IF(ISNUMBER(W79),(IF(V79=1,W79,0)),0)</f>
        <v>1</v>
      </c>
      <c r="H79" s="424">
        <f t="shared" si="14"/>
        <v>1</v>
      </c>
      <c r="I79" s="292" t="str">
        <f>C79</f>
        <v>Horizontale schroefpomp (kattenrug)</v>
      </c>
      <c r="J79" s="177"/>
      <c r="K79" s="462" t="str">
        <f>VLOOKUP(I79,$N$61:$Q$83,4,FALSE)</f>
        <v>&gt;100 m3/min</v>
      </c>
      <c r="L79" s="293"/>
      <c r="M79" s="177"/>
      <c r="N79" s="292" t="s">
        <v>44</v>
      </c>
      <c r="O79" s="177"/>
      <c r="P79" s="177"/>
      <c r="Q79" s="340" t="s">
        <v>13</v>
      </c>
      <c r="R79" s="293"/>
      <c r="S79" s="426">
        <f t="shared" si="16"/>
        <v>1</v>
      </c>
      <c r="T79" s="419">
        <f t="shared" si="20"/>
        <v>1</v>
      </c>
      <c r="U79" s="426">
        <f t="shared" ref="U79" si="21">IF(ISNUMBER(T79),(IF(T79=1,1,0)),0)</f>
        <v>1</v>
      </c>
      <c r="V79" s="426">
        <f t="shared" ref="V79" si="22">S79*U79</f>
        <v>1</v>
      </c>
      <c r="W79" s="424">
        <f>IF(ISNUMBER(G34),(G34),"")</f>
        <v>1</v>
      </c>
      <c r="X79" s="424">
        <f>IF(ISNUMBER(E34),(E34),"")</f>
        <v>1</v>
      </c>
      <c r="Y79" s="450"/>
      <c r="Z79" s="450"/>
    </row>
    <row r="80" spans="2:26" ht="16.5" customHeight="1">
      <c r="B80" s="206"/>
      <c r="C80" s="177" t="str">
        <f t="shared" ref="C80:D83" si="23">C35</f>
        <v>Open schroefpomp</v>
      </c>
      <c r="D80" s="177" t="str">
        <f>D35</f>
        <v>Axiaal</v>
      </c>
      <c r="E80" s="177" t="str">
        <f t="shared" si="8"/>
        <v>?</v>
      </c>
      <c r="F80" s="310">
        <v>1</v>
      </c>
      <c r="G80" s="296">
        <f t="shared" si="13"/>
        <v>1.0000019</v>
      </c>
      <c r="H80" s="424">
        <f t="shared" si="14"/>
        <v>1</v>
      </c>
      <c r="I80" s="292" t="str">
        <f t="shared" si="15"/>
        <v>Open schroefpomp</v>
      </c>
      <c r="J80" s="177"/>
      <c r="K80" s="462" t="str">
        <f t="shared" ref="K80:K83" si="24">VLOOKUP(I80,$N$61:$Q$83,4,FALSE)</f>
        <v>?</v>
      </c>
      <c r="L80" s="293"/>
      <c r="M80" s="177"/>
      <c r="N80" s="292" t="s">
        <v>406</v>
      </c>
      <c r="O80" s="177"/>
      <c r="P80" s="177"/>
      <c r="Q80" s="340" t="s">
        <v>13</v>
      </c>
      <c r="R80" s="293"/>
      <c r="S80" s="426">
        <f t="shared" si="16"/>
        <v>1</v>
      </c>
      <c r="T80" s="419">
        <f t="shared" si="20"/>
        <v>1</v>
      </c>
      <c r="U80" s="426">
        <f t="shared" si="10"/>
        <v>1</v>
      </c>
      <c r="V80" s="426">
        <f t="shared" si="18"/>
        <v>1</v>
      </c>
      <c r="W80" s="424">
        <f t="shared" ref="W80:W83" si="25">IF(ISNUMBER(G35),(G35),"")</f>
        <v>1.0000019</v>
      </c>
      <c r="X80" s="424">
        <f t="shared" ref="X80:X83" si="26">IF(ISNUMBER(E35),(E35),"")</f>
        <v>1</v>
      </c>
      <c r="Y80" s="450"/>
      <c r="Z80" s="450"/>
    </row>
    <row r="81" spans="1:26" ht="16.5" customHeight="1">
      <c r="B81" s="206"/>
      <c r="C81" s="177" t="str">
        <f t="shared" si="23"/>
        <v>Schroefpomp</v>
      </c>
      <c r="D81" s="177" t="str">
        <f t="shared" si="23"/>
        <v>Axiaal</v>
      </c>
      <c r="E81" s="177" t="str">
        <f t="shared" si="8"/>
        <v>0 - &gt;1.000 m3/min</v>
      </c>
      <c r="F81" s="310">
        <v>1</v>
      </c>
      <c r="G81" s="296">
        <f t="shared" si="13"/>
        <v>2.61600236</v>
      </c>
      <c r="H81" s="424">
        <f t="shared" si="14"/>
        <v>1</v>
      </c>
      <c r="I81" s="292" t="str">
        <f t="shared" si="15"/>
        <v>Schroefpomp</v>
      </c>
      <c r="J81" s="177"/>
      <c r="K81" s="462" t="str">
        <f t="shared" si="24"/>
        <v>0 - &gt;1.000 m3/min</v>
      </c>
      <c r="L81" s="293"/>
      <c r="M81" s="177"/>
      <c r="N81" s="292" t="s">
        <v>407</v>
      </c>
      <c r="O81" s="177"/>
      <c r="P81" s="177"/>
      <c r="Q81" s="340" t="s">
        <v>13</v>
      </c>
      <c r="R81" s="293"/>
      <c r="S81" s="426">
        <f t="shared" si="16"/>
        <v>1</v>
      </c>
      <c r="T81" s="419">
        <f t="shared" si="20"/>
        <v>1</v>
      </c>
      <c r="U81" s="426">
        <f t="shared" si="10"/>
        <v>1</v>
      </c>
      <c r="V81" s="426">
        <f t="shared" si="18"/>
        <v>1</v>
      </c>
      <c r="W81" s="424">
        <f t="shared" si="25"/>
        <v>2.61600236</v>
      </c>
      <c r="X81" s="424">
        <f t="shared" si="26"/>
        <v>1</v>
      </c>
      <c r="Y81" s="450"/>
      <c r="Z81" s="450"/>
    </row>
    <row r="82" spans="1:26" ht="16.5" customHeight="1">
      <c r="B82" s="206"/>
      <c r="C82" s="177" t="str">
        <f t="shared" si="23"/>
        <v>Faunapomp</v>
      </c>
      <c r="D82" s="177" t="str">
        <f t="shared" si="23"/>
        <v>Drukpomp</v>
      </c>
      <c r="E82" s="177" t="str">
        <f t="shared" si="8"/>
        <v>5 m3/min*</v>
      </c>
      <c r="F82" s="310">
        <v>1</v>
      </c>
      <c r="G82" s="296">
        <f t="shared" si="13"/>
        <v>0</v>
      </c>
      <c r="H82" s="424" t="str">
        <f t="shared" si="14"/>
        <v/>
      </c>
      <c r="I82" s="292" t="str">
        <f t="shared" si="15"/>
        <v>Faunapomp</v>
      </c>
      <c r="J82" s="177"/>
      <c r="K82" s="462" t="str">
        <f t="shared" si="24"/>
        <v>5 m3/min*</v>
      </c>
      <c r="L82" s="293"/>
      <c r="M82" s="177"/>
      <c r="N82" s="292" t="s">
        <v>134</v>
      </c>
      <c r="O82" s="177"/>
      <c r="P82" s="177"/>
      <c r="Q82" s="340" t="s">
        <v>316</v>
      </c>
      <c r="R82" s="293"/>
      <c r="S82" s="426">
        <f t="shared" si="16"/>
        <v>1</v>
      </c>
      <c r="T82" s="419">
        <f t="shared" si="20"/>
        <v>2</v>
      </c>
      <c r="U82" s="426">
        <f t="shared" si="10"/>
        <v>0</v>
      </c>
      <c r="V82" s="426">
        <f t="shared" si="18"/>
        <v>0</v>
      </c>
      <c r="W82" s="424" t="str">
        <f t="shared" si="25"/>
        <v/>
      </c>
      <c r="X82" s="424" t="str">
        <f t="shared" si="26"/>
        <v/>
      </c>
      <c r="Y82" s="450"/>
      <c r="Z82" s="450"/>
    </row>
    <row r="83" spans="1:26" ht="16.5" customHeight="1">
      <c r="B83" s="206"/>
      <c r="C83" s="177" t="str">
        <f t="shared" si="23"/>
        <v>Schepradgemaal</v>
      </c>
      <c r="D83" s="177" t="str">
        <f t="shared" si="23"/>
        <v>Scheprad</v>
      </c>
      <c r="E83" s="177" t="str">
        <f t="shared" si="8"/>
        <v>&lt;5 m3/min</v>
      </c>
      <c r="F83" s="310">
        <v>1</v>
      </c>
      <c r="G83" s="296">
        <f t="shared" si="13"/>
        <v>0</v>
      </c>
      <c r="H83" s="412" t="str">
        <f t="shared" si="14"/>
        <v/>
      </c>
      <c r="I83" s="294" t="str">
        <f t="shared" si="15"/>
        <v>Schepradgemaal</v>
      </c>
      <c r="J83" s="223"/>
      <c r="K83" s="463" t="str">
        <f t="shared" si="24"/>
        <v>&lt;5 m3/min</v>
      </c>
      <c r="L83" s="295"/>
      <c r="M83" s="177"/>
      <c r="N83" s="294" t="s">
        <v>220</v>
      </c>
      <c r="O83" s="223"/>
      <c r="P83" s="223"/>
      <c r="Q83" s="341" t="s">
        <v>320</v>
      </c>
      <c r="R83" s="295"/>
      <c r="S83" s="426">
        <f t="shared" si="16"/>
        <v>1</v>
      </c>
      <c r="T83" s="419">
        <f t="shared" si="20"/>
        <v>1</v>
      </c>
      <c r="U83" s="426">
        <f t="shared" si="10"/>
        <v>1</v>
      </c>
      <c r="V83" s="426">
        <f t="shared" si="18"/>
        <v>1</v>
      </c>
      <c r="W83" s="424" t="str">
        <f t="shared" si="25"/>
        <v/>
      </c>
      <c r="X83" s="424" t="str">
        <f t="shared" si="26"/>
        <v/>
      </c>
      <c r="Y83" s="450"/>
      <c r="Z83" s="450"/>
    </row>
    <row r="84" spans="1:26" ht="16.5" customHeight="1">
      <c r="C84" s="274" t="s">
        <v>317</v>
      </c>
      <c r="F84" s="338"/>
      <c r="G84" s="206" t="s">
        <v>11</v>
      </c>
      <c r="H84" s="411"/>
      <c r="I84" s="206">
        <v>0</v>
      </c>
      <c r="M84" s="313"/>
      <c r="S84" s="413"/>
      <c r="T84" s="411"/>
      <c r="U84" s="411"/>
      <c r="V84" s="411"/>
      <c r="W84" s="411"/>
      <c r="X84" s="411"/>
      <c r="Y84" s="411"/>
    </row>
    <row r="85" spans="1:26" ht="16.5" customHeight="1">
      <c r="F85" s="214"/>
      <c r="S85" s="206"/>
      <c r="T85" s="206"/>
      <c r="U85" s="206"/>
      <c r="V85" s="206"/>
      <c r="W85" s="206"/>
      <c r="X85" s="206"/>
    </row>
    <row r="86" spans="1:26" ht="16.5" customHeight="1">
      <c r="C86" s="198"/>
      <c r="S86" s="206"/>
      <c r="T86" s="206"/>
      <c r="U86" s="206"/>
      <c r="V86" s="206"/>
      <c r="W86" s="206"/>
      <c r="X86" s="206"/>
    </row>
    <row r="87" spans="1:26">
      <c r="B87" s="429">
        <v>3</v>
      </c>
      <c r="C87" s="191" t="s">
        <v>302</v>
      </c>
      <c r="D87" s="192"/>
      <c r="E87" s="192"/>
      <c r="F87" s="192"/>
      <c r="G87" s="192"/>
      <c r="H87" s="192"/>
      <c r="I87" s="192"/>
      <c r="J87" s="192"/>
      <c r="K87" s="192"/>
      <c r="L87" s="192"/>
      <c r="S87" s="206"/>
      <c r="T87" s="206"/>
      <c r="U87" s="206"/>
      <c r="V87" s="206"/>
      <c r="W87" s="206"/>
      <c r="X87" s="206"/>
    </row>
    <row r="88" spans="1:26">
      <c r="B88" s="430"/>
      <c r="H88" s="211"/>
      <c r="I88" s="211"/>
      <c r="J88" s="211"/>
      <c r="S88" s="206"/>
      <c r="T88" s="206"/>
      <c r="U88" s="206"/>
      <c r="V88" s="206"/>
      <c r="W88" s="206"/>
      <c r="X88" s="206"/>
    </row>
    <row r="89" spans="1:26">
      <c r="B89" s="430"/>
      <c r="C89" s="198" t="s">
        <v>301</v>
      </c>
      <c r="H89" s="206"/>
      <c r="I89" s="206"/>
      <c r="J89" s="206"/>
      <c r="K89" s="206"/>
      <c r="S89" s="206"/>
      <c r="T89" s="206"/>
      <c r="U89" s="206"/>
      <c r="V89" s="206"/>
      <c r="W89" s="206"/>
      <c r="X89" s="206"/>
    </row>
    <row r="90" spans="1:26">
      <c r="A90" s="416"/>
      <c r="B90" s="460"/>
      <c r="C90" s="240" t="s">
        <v>230</v>
      </c>
      <c r="D90" s="240" t="s">
        <v>233</v>
      </c>
      <c r="E90" s="241" t="s">
        <v>261</v>
      </c>
      <c r="F90" s="241" t="s">
        <v>251</v>
      </c>
      <c r="G90" s="241" t="s">
        <v>285</v>
      </c>
      <c r="H90" s="206"/>
      <c r="I90" s="217"/>
      <c r="J90" s="217"/>
      <c r="K90" s="206"/>
      <c r="L90" s="206"/>
      <c r="M90" s="206"/>
      <c r="N90" s="206"/>
      <c r="O90" s="206"/>
      <c r="P90" s="206"/>
      <c r="Q90" s="206"/>
      <c r="R90" s="206"/>
      <c r="S90" s="206"/>
      <c r="T90" s="206"/>
      <c r="U90" s="206"/>
      <c r="V90" s="206"/>
      <c r="W90" s="206"/>
      <c r="X90" s="206"/>
    </row>
    <row r="91" spans="1:26">
      <c r="A91" s="417">
        <f>(VLOOKUP(E91,$C$61:$H$83,6,FALSE))</f>
        <v>1</v>
      </c>
      <c r="B91" s="461">
        <f>LARGE($G$61:$G$83,C91)</f>
        <v>3.00000212</v>
      </c>
      <c r="C91" s="301">
        <v>1</v>
      </c>
      <c r="D91" s="311">
        <f>IF(ISNUMBER(B91),B91,"")</f>
        <v>3.00000212</v>
      </c>
      <c r="E91" s="297" t="str">
        <f t="shared" ref="E91:E110" si="27">IF(ISNUMBER(B91),(VLOOKUP(B91,$G$16:$H$39,2,FALSE)),"")</f>
        <v>Gesloten schroefpomp FFI</v>
      </c>
      <c r="F91" s="297" t="str">
        <f t="shared" ref="F91:F110" si="28">VLOOKUP(E91,$H$16:$I$39,2,FALSE)</f>
        <v>Axiaal</v>
      </c>
      <c r="G91" s="302" t="str">
        <f t="shared" ref="G91:G107" si="29">IF((D91&gt;0),H91,"")</f>
        <v>wens voor visvriendelijke oplossing</v>
      </c>
      <c r="H91" s="227" t="str">
        <f>IF(((D91/2)&gt;A91),"wens voor visvriendelijke oplossing", "technische randvoorwaarden")</f>
        <v>wens voor visvriendelijke oplossing</v>
      </c>
      <c r="I91" s="206"/>
      <c r="J91" s="206"/>
      <c r="K91" s="206"/>
      <c r="L91" s="206"/>
      <c r="M91" s="206"/>
      <c r="N91" s="206"/>
      <c r="O91" s="206"/>
      <c r="P91" s="206"/>
      <c r="Q91" s="206"/>
      <c r="R91" s="206"/>
      <c r="S91" s="206"/>
      <c r="T91" s="206"/>
      <c r="U91" s="206"/>
      <c r="V91" s="206"/>
      <c r="W91" s="206"/>
      <c r="X91" s="206"/>
    </row>
    <row r="92" spans="1:26">
      <c r="A92" s="417">
        <f t="shared" ref="A92:A110" si="30">(VLOOKUP(E92,$C$61:$H$83,6,FALSE))</f>
        <v>1</v>
      </c>
      <c r="B92" s="461">
        <f t="shared" ref="B92:B110" si="31">LARGE($G$61:$G$83,C92)</f>
        <v>2.9400016399999997</v>
      </c>
      <c r="C92" s="301">
        <v>2</v>
      </c>
      <c r="D92" s="311">
        <f t="shared" ref="D92:D110" si="32">IF(ISNUMBER(B92),B92,"")</f>
        <v>2.9400016399999997</v>
      </c>
      <c r="E92" s="297" t="str">
        <f t="shared" si="27"/>
        <v>Nijhuis Bulbpomp</v>
      </c>
      <c r="F92" s="297" t="str">
        <f t="shared" si="28"/>
        <v>Axiaal</v>
      </c>
      <c r="G92" s="302" t="str">
        <f t="shared" si="29"/>
        <v>wens voor visvriendelijke oplossing</v>
      </c>
      <c r="H92" s="227" t="str">
        <f t="shared" ref="H92:H110" si="33">IF(((D92/2)&gt;A92),"wens voor visvriendelijke oplossing", "technische randvoorwaarden")</f>
        <v>wens voor visvriendelijke oplossing</v>
      </c>
      <c r="I92" s="206"/>
      <c r="J92" s="206"/>
      <c r="K92" s="206"/>
      <c r="L92" s="206"/>
      <c r="M92" s="206"/>
      <c r="N92" s="206"/>
      <c r="O92" s="206"/>
      <c r="P92" s="206"/>
      <c r="Q92" s="206"/>
      <c r="R92" s="206"/>
      <c r="S92" s="206"/>
      <c r="T92" s="206"/>
      <c r="U92" s="206"/>
      <c r="V92" s="206"/>
      <c r="W92" s="206"/>
      <c r="X92" s="206"/>
    </row>
    <row r="93" spans="1:26">
      <c r="A93" s="417">
        <f t="shared" si="30"/>
        <v>1</v>
      </c>
      <c r="B93" s="461">
        <f t="shared" si="31"/>
        <v>2.7300020000000003</v>
      </c>
      <c r="C93" s="301">
        <v>3</v>
      </c>
      <c r="D93" s="311">
        <f t="shared" si="32"/>
        <v>2.7300020000000003</v>
      </c>
      <c r="E93" s="297" t="str">
        <f t="shared" si="27"/>
        <v>Gesloten schroefpomp</v>
      </c>
      <c r="F93" s="297" t="str">
        <f t="shared" si="28"/>
        <v>Axiaal</v>
      </c>
      <c r="G93" s="302" t="str">
        <f t="shared" si="29"/>
        <v>wens voor visvriendelijke oplossing</v>
      </c>
      <c r="H93" s="227" t="str">
        <f t="shared" si="33"/>
        <v>wens voor visvriendelijke oplossing</v>
      </c>
      <c r="I93" s="206"/>
      <c r="J93" s="206"/>
      <c r="K93" s="206"/>
      <c r="L93" s="206"/>
      <c r="M93" s="206"/>
      <c r="N93" s="206"/>
      <c r="O93" s="206"/>
      <c r="P93" s="206"/>
      <c r="Q93" s="206"/>
      <c r="R93" s="206"/>
      <c r="S93" s="206"/>
      <c r="T93" s="206"/>
      <c r="U93" s="206"/>
      <c r="V93" s="206"/>
      <c r="W93" s="206"/>
      <c r="X93" s="206"/>
    </row>
    <row r="94" spans="1:26">
      <c r="A94" s="417">
        <f t="shared" si="30"/>
        <v>0.65386666666666671</v>
      </c>
      <c r="B94" s="461">
        <f t="shared" si="31"/>
        <v>2.6538670666666664</v>
      </c>
      <c r="C94" s="301">
        <v>4</v>
      </c>
      <c r="D94" s="311">
        <f t="shared" si="32"/>
        <v>2.6538670666666664</v>
      </c>
      <c r="E94" s="297" t="str">
        <f t="shared" si="27"/>
        <v>Vijzel (Spaans Babcock)</v>
      </c>
      <c r="F94" s="297" t="str">
        <f t="shared" si="28"/>
        <v>Vijzel</v>
      </c>
      <c r="G94" s="302" t="str">
        <f t="shared" si="29"/>
        <v>wens voor visvriendelijke oplossing</v>
      </c>
      <c r="H94" s="227" t="str">
        <f t="shared" si="33"/>
        <v>wens voor visvriendelijke oplossing</v>
      </c>
      <c r="I94" s="206"/>
      <c r="J94" s="206"/>
      <c r="K94" s="206"/>
      <c r="L94" s="206"/>
      <c r="M94" s="206"/>
      <c r="N94" s="206"/>
      <c r="O94" s="206"/>
      <c r="P94" s="206"/>
      <c r="Q94" s="206"/>
      <c r="R94" s="206"/>
      <c r="S94" s="206"/>
      <c r="T94" s="206"/>
      <c r="U94" s="206"/>
      <c r="V94" s="206"/>
      <c r="W94" s="206"/>
      <c r="X94" s="206"/>
    </row>
    <row r="95" spans="1:26">
      <c r="A95" s="417">
        <f t="shared" si="30"/>
        <v>0.65386666666666671</v>
      </c>
      <c r="B95" s="461">
        <f t="shared" si="31"/>
        <v>2.6472002200000002</v>
      </c>
      <c r="C95" s="301">
        <v>5</v>
      </c>
      <c r="D95" s="311">
        <f t="shared" si="32"/>
        <v>2.6472002200000002</v>
      </c>
      <c r="E95" s="297" t="str">
        <f t="shared" si="27"/>
        <v>De Wit vijzel</v>
      </c>
      <c r="F95" s="297" t="str">
        <f t="shared" si="28"/>
        <v>Vijzel</v>
      </c>
      <c r="G95" s="302" t="str">
        <f t="shared" si="29"/>
        <v>wens voor visvriendelijke oplossing</v>
      </c>
      <c r="H95" s="227" t="str">
        <f t="shared" si="33"/>
        <v>wens voor visvriendelijke oplossing</v>
      </c>
      <c r="I95" s="206"/>
      <c r="J95" s="206"/>
      <c r="K95" s="206"/>
      <c r="L95" s="206"/>
      <c r="M95" s="206"/>
      <c r="N95" s="206"/>
      <c r="O95" s="206"/>
      <c r="P95" s="206"/>
      <c r="Q95" s="206"/>
      <c r="R95" s="206"/>
      <c r="S95" s="206"/>
      <c r="T95" s="206"/>
      <c r="U95" s="206"/>
      <c r="V95" s="206"/>
      <c r="W95" s="206"/>
      <c r="X95" s="206"/>
    </row>
    <row r="96" spans="1:26">
      <c r="A96" s="417">
        <f t="shared" si="30"/>
        <v>0.65386666666666671</v>
      </c>
      <c r="B96" s="461">
        <f t="shared" si="31"/>
        <v>2.640533473333333</v>
      </c>
      <c r="C96" s="301">
        <v>6</v>
      </c>
      <c r="D96" s="311">
        <f t="shared" si="32"/>
        <v>2.640533473333333</v>
      </c>
      <c r="E96" s="297" t="str">
        <f t="shared" si="27"/>
        <v>Buisvijzel FFI</v>
      </c>
      <c r="F96" s="297" t="str">
        <f t="shared" si="28"/>
        <v>Vijzel</v>
      </c>
      <c r="G96" s="302" t="str">
        <f t="shared" si="29"/>
        <v>wens voor visvriendelijke oplossing</v>
      </c>
      <c r="H96" s="227" t="str">
        <f t="shared" si="33"/>
        <v>wens voor visvriendelijke oplossing</v>
      </c>
      <c r="I96" s="206"/>
      <c r="J96" s="206"/>
      <c r="K96" s="206"/>
      <c r="L96" s="206"/>
      <c r="M96" s="206"/>
      <c r="N96" s="206"/>
      <c r="O96" s="206"/>
      <c r="P96" s="206"/>
      <c r="Q96" s="206"/>
      <c r="R96" s="206"/>
      <c r="S96" s="206"/>
      <c r="T96" s="206"/>
    </row>
    <row r="97" spans="1:20">
      <c r="A97" s="417">
        <f t="shared" si="30"/>
        <v>0.65386666666666671</v>
      </c>
      <c r="B97" s="461">
        <f t="shared" si="31"/>
        <v>2.6238671666666669</v>
      </c>
      <c r="C97" s="301">
        <v>7</v>
      </c>
      <c r="D97" s="311">
        <f t="shared" si="32"/>
        <v>2.6238671666666669</v>
      </c>
      <c r="E97" s="297" t="str">
        <f t="shared" si="27"/>
        <v>Vijzel (Landustrie)</v>
      </c>
      <c r="F97" s="297" t="str">
        <f t="shared" si="28"/>
        <v>Vijzel</v>
      </c>
      <c r="G97" s="302" t="str">
        <f t="shared" si="29"/>
        <v>wens voor visvriendelijke oplossing</v>
      </c>
      <c r="H97" s="227" t="str">
        <f t="shared" si="33"/>
        <v>wens voor visvriendelijke oplossing</v>
      </c>
      <c r="I97" s="206"/>
      <c r="J97" s="206"/>
      <c r="K97" s="206"/>
      <c r="L97" s="206"/>
      <c r="M97" s="206"/>
      <c r="N97" s="206"/>
      <c r="O97" s="206"/>
      <c r="P97" s="206"/>
      <c r="Q97" s="206"/>
      <c r="R97" s="206"/>
      <c r="S97" s="206"/>
      <c r="T97" s="206"/>
    </row>
    <row r="98" spans="1:20">
      <c r="A98" s="417">
        <f t="shared" si="30"/>
        <v>1</v>
      </c>
      <c r="B98" s="461">
        <f t="shared" si="31"/>
        <v>2.61600236</v>
      </c>
      <c r="C98" s="301">
        <v>8</v>
      </c>
      <c r="D98" s="311">
        <f>IF(ISNUMBER(B98),B98,"")</f>
        <v>2.61600236</v>
      </c>
      <c r="E98" s="297" t="str">
        <f>IF(ISNUMBER(B98),(VLOOKUP(B98,$G$16:$H$39,2,FALSE)),"")</f>
        <v>Schroefpomp</v>
      </c>
      <c r="F98" s="297" t="str">
        <f t="shared" si="28"/>
        <v>Axiaal</v>
      </c>
      <c r="G98" s="302" t="str">
        <f t="shared" si="29"/>
        <v>wens voor visvriendelijke oplossing</v>
      </c>
      <c r="H98" s="227" t="str">
        <f t="shared" si="33"/>
        <v>wens voor visvriendelijke oplossing</v>
      </c>
      <c r="I98" s="206"/>
      <c r="J98" s="206"/>
      <c r="K98" s="206"/>
      <c r="L98" s="206"/>
      <c r="M98" s="206"/>
      <c r="N98" s="206"/>
      <c r="O98" s="206"/>
      <c r="P98" s="206"/>
      <c r="Q98" s="206"/>
      <c r="R98" s="206"/>
      <c r="S98" s="206"/>
      <c r="T98" s="206"/>
    </row>
    <row r="99" spans="1:20">
      <c r="A99" s="417">
        <f t="shared" si="30"/>
        <v>0.65386666666666671</v>
      </c>
      <c r="B99" s="461">
        <f t="shared" si="31"/>
        <v>2.5384824112820512</v>
      </c>
      <c r="C99" s="301">
        <v>9</v>
      </c>
      <c r="D99" s="311">
        <f t="shared" si="32"/>
        <v>2.5384824112820512</v>
      </c>
      <c r="E99" s="297" t="str">
        <f t="shared" si="27"/>
        <v>Vijzel</v>
      </c>
      <c r="F99" s="297" t="str">
        <f t="shared" si="28"/>
        <v>Vijzel</v>
      </c>
      <c r="G99" s="302" t="str">
        <f t="shared" si="29"/>
        <v>wens voor visvriendelijke oplossing</v>
      </c>
      <c r="H99" s="227" t="str">
        <f t="shared" si="33"/>
        <v>wens voor visvriendelijke oplossing</v>
      </c>
      <c r="I99" s="206"/>
      <c r="J99" s="206"/>
      <c r="K99" s="206"/>
      <c r="L99" s="206"/>
      <c r="M99" s="206"/>
      <c r="N99" s="206"/>
      <c r="O99" s="206"/>
      <c r="P99" s="206"/>
      <c r="Q99" s="206"/>
      <c r="R99" s="206"/>
      <c r="S99" s="206"/>
      <c r="T99" s="206"/>
    </row>
    <row r="100" spans="1:20">
      <c r="A100" s="417">
        <f t="shared" si="30"/>
        <v>0.4392888888888889</v>
      </c>
      <c r="B100" s="461">
        <f t="shared" si="31"/>
        <v>2.3447442343434344</v>
      </c>
      <c r="C100" s="301">
        <v>10</v>
      </c>
      <c r="D100" s="311">
        <f t="shared" si="32"/>
        <v>2.3447442343434344</v>
      </c>
      <c r="E100" s="297" t="str">
        <f t="shared" si="27"/>
        <v>Centrifugaalpomp</v>
      </c>
      <c r="F100" s="297" t="str">
        <f t="shared" si="28"/>
        <v>Radiaal</v>
      </c>
      <c r="G100" s="302" t="str">
        <f t="shared" si="29"/>
        <v>wens voor visvriendelijke oplossing</v>
      </c>
      <c r="H100" s="227" t="str">
        <f t="shared" si="33"/>
        <v>wens voor visvriendelijke oplossing</v>
      </c>
      <c r="I100" s="206"/>
      <c r="J100" s="206"/>
      <c r="K100" s="206"/>
      <c r="L100" s="206"/>
      <c r="M100" s="206"/>
      <c r="N100" s="206"/>
      <c r="O100" s="206"/>
      <c r="P100" s="206"/>
      <c r="Q100" s="206"/>
      <c r="R100" s="206"/>
      <c r="S100" s="206"/>
      <c r="T100" s="206"/>
    </row>
    <row r="101" spans="1:20">
      <c r="A101" s="417">
        <f t="shared" si="30"/>
        <v>0.18915555555555558</v>
      </c>
      <c r="B101" s="461">
        <f t="shared" si="31"/>
        <v>2.1891569555555557</v>
      </c>
      <c r="C101" s="301">
        <v>11</v>
      </c>
      <c r="D101" s="311">
        <f t="shared" si="32"/>
        <v>2.1891569555555557</v>
      </c>
      <c r="E101" s="297" t="str">
        <f t="shared" si="27"/>
        <v>Visvriendelijke Hidrostal</v>
      </c>
      <c r="F101" s="297" t="str">
        <f t="shared" si="28"/>
        <v>Half-axiaal</v>
      </c>
      <c r="G101" s="302" t="str">
        <f>IF((D101&gt;0),H101,"")</f>
        <v>wens voor visvriendelijke oplossing</v>
      </c>
      <c r="H101" s="227" t="str">
        <f t="shared" si="33"/>
        <v>wens voor visvriendelijke oplossing</v>
      </c>
      <c r="I101" s="206"/>
      <c r="J101" s="206"/>
      <c r="K101" s="206"/>
      <c r="L101" s="206"/>
      <c r="M101" s="206"/>
      <c r="N101" s="206"/>
      <c r="O101" s="206"/>
      <c r="P101" s="206"/>
      <c r="Q101" s="206"/>
      <c r="R101" s="206"/>
      <c r="S101" s="206"/>
      <c r="T101" s="206"/>
    </row>
    <row r="102" spans="1:20">
      <c r="A102" s="417">
        <f t="shared" si="30"/>
        <v>0.18915555555555558</v>
      </c>
      <c r="B102" s="461">
        <f t="shared" si="31"/>
        <v>2.1891564755555559</v>
      </c>
      <c r="C102" s="301">
        <v>12</v>
      </c>
      <c r="D102" s="311">
        <f t="shared" si="32"/>
        <v>2.1891564755555559</v>
      </c>
      <c r="E102" s="297" t="str">
        <f>IF(ISNUMBER(B102),(VLOOKUP(B102,$G$16:$H$39,2,FALSE)),"")</f>
        <v>Amarex KRT</v>
      </c>
      <c r="F102" s="297" t="str">
        <f t="shared" si="28"/>
        <v>Half-axiaal</v>
      </c>
      <c r="G102" s="302" t="str">
        <f t="shared" si="29"/>
        <v>wens voor visvriendelijke oplossing</v>
      </c>
      <c r="H102" s="227" t="str">
        <f t="shared" si="33"/>
        <v>wens voor visvriendelijke oplossing</v>
      </c>
      <c r="I102" s="206"/>
      <c r="J102" s="206"/>
      <c r="K102" s="206"/>
      <c r="L102" s="206"/>
      <c r="M102" s="206"/>
      <c r="N102" s="206"/>
      <c r="O102" s="206"/>
      <c r="P102" s="206"/>
      <c r="Q102" s="206"/>
      <c r="R102" s="206"/>
      <c r="S102" s="206"/>
      <c r="T102" s="206"/>
    </row>
    <row r="103" spans="1:20">
      <c r="A103" s="417">
        <f t="shared" si="30"/>
        <v>0.18915555555555558</v>
      </c>
      <c r="B103" s="461">
        <f t="shared" si="31"/>
        <v>2.097490048888889</v>
      </c>
      <c r="C103" s="301">
        <v>13</v>
      </c>
      <c r="D103" s="311">
        <f t="shared" si="32"/>
        <v>2.097490048888889</v>
      </c>
      <c r="E103" s="297" t="str">
        <f t="shared" si="27"/>
        <v>Hidrostal</v>
      </c>
      <c r="F103" s="297" t="str">
        <f t="shared" si="28"/>
        <v>Half-axiaal</v>
      </c>
      <c r="G103" s="302" t="str">
        <f t="shared" si="29"/>
        <v>wens voor visvriendelijke oplossing</v>
      </c>
      <c r="H103" s="227" t="str">
        <f t="shared" si="33"/>
        <v>wens voor visvriendelijke oplossing</v>
      </c>
      <c r="I103" s="206"/>
      <c r="J103" s="206"/>
      <c r="K103" s="206"/>
      <c r="L103" s="206"/>
      <c r="M103" s="206"/>
      <c r="N103" s="206"/>
      <c r="O103" s="206"/>
      <c r="P103" s="206"/>
      <c r="Q103" s="206"/>
      <c r="R103" s="206"/>
      <c r="S103" s="206"/>
      <c r="T103" s="206"/>
    </row>
    <row r="104" spans="1:20">
      <c r="A104" s="417">
        <f t="shared" si="30"/>
        <v>0.18915555555555558</v>
      </c>
      <c r="B104" s="461">
        <f t="shared" si="31"/>
        <v>2.0691570755555557</v>
      </c>
      <c r="C104" s="301">
        <v>14</v>
      </c>
      <c r="D104" s="311">
        <f t="shared" si="32"/>
        <v>2.0691570755555557</v>
      </c>
      <c r="E104" s="297" t="str">
        <f t="shared" si="27"/>
        <v>VOPO met stroomomdraaiing</v>
      </c>
      <c r="F104" s="297" t="str">
        <f t="shared" si="28"/>
        <v>Half-axiaal</v>
      </c>
      <c r="G104" s="302" t="str">
        <f t="shared" si="29"/>
        <v>wens voor visvriendelijke oplossing</v>
      </c>
      <c r="H104" s="227" t="str">
        <f t="shared" si="33"/>
        <v>wens voor visvriendelijke oplossing</v>
      </c>
      <c r="I104" s="206"/>
      <c r="J104" s="206"/>
      <c r="K104" s="206"/>
      <c r="L104" s="206"/>
      <c r="M104" s="206"/>
      <c r="N104" s="206"/>
      <c r="O104" s="206"/>
      <c r="P104" s="206"/>
      <c r="Q104" s="206"/>
      <c r="R104" s="206"/>
      <c r="S104" s="206"/>
      <c r="T104" s="206"/>
    </row>
    <row r="105" spans="1:20">
      <c r="A105" s="417">
        <f t="shared" si="30"/>
        <v>0.18915555555555558</v>
      </c>
      <c r="B105" s="461">
        <f t="shared" si="31"/>
        <v>2.0458235022222224</v>
      </c>
      <c r="C105" s="301">
        <v>15</v>
      </c>
      <c r="D105" s="311">
        <f t="shared" si="32"/>
        <v>2.0458235022222224</v>
      </c>
      <c r="E105" s="297" t="str">
        <f t="shared" si="27"/>
        <v>half-axiaal pomp</v>
      </c>
      <c r="F105" s="297" t="str">
        <f t="shared" si="28"/>
        <v>Half-axiaal</v>
      </c>
      <c r="G105" s="302" t="str">
        <f t="shared" si="29"/>
        <v>wens voor visvriendelijke oplossing</v>
      </c>
      <c r="H105" s="227" t="str">
        <f t="shared" si="33"/>
        <v>wens voor visvriendelijke oplossing</v>
      </c>
      <c r="I105" s="206"/>
      <c r="J105" s="206"/>
      <c r="K105" s="206"/>
      <c r="L105" s="206"/>
      <c r="M105" s="206"/>
      <c r="N105" s="206"/>
      <c r="O105" s="206"/>
      <c r="P105" s="206"/>
      <c r="Q105" s="206"/>
      <c r="R105" s="206"/>
      <c r="S105" s="206"/>
      <c r="T105" s="206"/>
    </row>
    <row r="106" spans="1:20">
      <c r="A106" s="417">
        <f t="shared" si="30"/>
        <v>0.18915555555555558</v>
      </c>
      <c r="B106" s="461">
        <f t="shared" si="31"/>
        <v>1.8991565955555556</v>
      </c>
      <c r="C106" s="301">
        <v>16</v>
      </c>
      <c r="D106" s="311">
        <f t="shared" si="32"/>
        <v>1.8991565955555556</v>
      </c>
      <c r="E106" s="297" t="str">
        <f t="shared" si="27"/>
        <v>BEVERON</v>
      </c>
      <c r="F106" s="297" t="str">
        <f t="shared" si="28"/>
        <v>Half-axiaal</v>
      </c>
      <c r="G106" s="302" t="str">
        <f t="shared" si="29"/>
        <v>wens voor visvriendelijke oplossing</v>
      </c>
      <c r="H106" s="227" t="str">
        <f t="shared" si="33"/>
        <v>wens voor visvriendelijke oplossing</v>
      </c>
      <c r="I106" s="206"/>
      <c r="J106" s="206"/>
      <c r="K106" s="206"/>
      <c r="L106" s="206"/>
      <c r="M106" s="206"/>
      <c r="N106" s="206"/>
      <c r="O106" s="206"/>
      <c r="P106" s="206"/>
      <c r="Q106" s="206"/>
      <c r="R106" s="206"/>
      <c r="S106" s="206"/>
      <c r="T106" s="206"/>
    </row>
    <row r="107" spans="1:20">
      <c r="A107" s="417">
        <f t="shared" si="30"/>
        <v>1</v>
      </c>
      <c r="B107" s="461">
        <f t="shared" si="31"/>
        <v>1.0000019</v>
      </c>
      <c r="C107" s="301">
        <v>17</v>
      </c>
      <c r="D107" s="311">
        <f t="shared" si="32"/>
        <v>1.0000019</v>
      </c>
      <c r="E107" s="297" t="str">
        <f t="shared" si="27"/>
        <v>Open schroefpomp</v>
      </c>
      <c r="F107" s="297" t="str">
        <f t="shared" si="28"/>
        <v>Axiaal</v>
      </c>
      <c r="G107" s="302" t="str">
        <f t="shared" si="29"/>
        <v>technische randvoorwaarden</v>
      </c>
      <c r="H107" s="227" t="str">
        <f t="shared" si="33"/>
        <v>technische randvoorwaarden</v>
      </c>
      <c r="I107" s="206"/>
      <c r="J107" s="206"/>
      <c r="K107" s="206"/>
      <c r="L107" s="206"/>
      <c r="M107" s="206"/>
      <c r="N107" s="206"/>
      <c r="O107" s="206"/>
      <c r="P107" s="206"/>
      <c r="Q107" s="206"/>
      <c r="R107" s="206"/>
      <c r="S107" s="206"/>
      <c r="T107" s="206"/>
    </row>
    <row r="108" spans="1:20">
      <c r="A108" s="417">
        <f t="shared" si="30"/>
        <v>1</v>
      </c>
      <c r="B108" s="461">
        <f t="shared" si="31"/>
        <v>1.0000016</v>
      </c>
      <c r="C108" s="301">
        <v>18</v>
      </c>
      <c r="D108" s="311">
        <f t="shared" si="32"/>
        <v>1.0000016</v>
      </c>
      <c r="E108" s="297" t="str">
        <f t="shared" si="27"/>
        <v>Gesloten schroefpomp (compact)</v>
      </c>
      <c r="F108" s="297" t="str">
        <f t="shared" si="28"/>
        <v>Axiaal</v>
      </c>
      <c r="G108" s="302" t="str">
        <f>IF((D108&gt;0),H108,"")</f>
        <v>technische randvoorwaarden</v>
      </c>
      <c r="H108" s="227" t="str">
        <f t="shared" si="33"/>
        <v>technische randvoorwaarden</v>
      </c>
      <c r="I108" s="206"/>
      <c r="J108" s="206"/>
      <c r="K108" s="206"/>
      <c r="L108" s="206"/>
      <c r="M108" s="206"/>
      <c r="N108" s="206"/>
      <c r="O108" s="206"/>
      <c r="P108" s="206"/>
      <c r="Q108" s="206"/>
      <c r="R108" s="206"/>
      <c r="S108" s="206"/>
      <c r="T108" s="206"/>
    </row>
    <row r="109" spans="1:20">
      <c r="A109" s="417">
        <f t="shared" si="30"/>
        <v>1</v>
      </c>
      <c r="B109" s="461">
        <f t="shared" si="31"/>
        <v>1.0000015</v>
      </c>
      <c r="C109" s="301">
        <v>19</v>
      </c>
      <c r="D109" s="311">
        <f t="shared" si="32"/>
        <v>1.0000015</v>
      </c>
      <c r="E109" s="297" t="str">
        <f t="shared" si="27"/>
        <v>BVOP</v>
      </c>
      <c r="F109" s="297" t="str">
        <f t="shared" si="28"/>
        <v>Axiaal</v>
      </c>
      <c r="G109" s="302" t="str">
        <f>IF((D109&gt;0),H109,"")</f>
        <v>technische randvoorwaarden</v>
      </c>
      <c r="H109" s="227" t="str">
        <f t="shared" si="33"/>
        <v>technische randvoorwaarden</v>
      </c>
      <c r="I109" s="206"/>
      <c r="J109" s="206"/>
      <c r="K109" s="206"/>
      <c r="L109" s="206"/>
      <c r="M109" s="206"/>
      <c r="N109" s="206"/>
      <c r="O109" s="206"/>
      <c r="P109" s="206"/>
      <c r="Q109" s="206"/>
      <c r="R109" s="206"/>
      <c r="S109" s="206"/>
      <c r="T109" s="206"/>
    </row>
    <row r="110" spans="1:20">
      <c r="A110" s="417">
        <f t="shared" si="30"/>
        <v>1</v>
      </c>
      <c r="B110" s="461">
        <f t="shared" si="31"/>
        <v>1</v>
      </c>
      <c r="C110" s="301">
        <v>20</v>
      </c>
      <c r="D110" s="311">
        <f t="shared" si="32"/>
        <v>1</v>
      </c>
      <c r="E110" s="297" t="str">
        <f t="shared" si="27"/>
        <v>Horizontale schroefpomp (kattenrug)</v>
      </c>
      <c r="F110" s="297" t="str">
        <f t="shared" si="28"/>
        <v>Axiaal</v>
      </c>
      <c r="G110" s="302" t="str">
        <f>IF((D110&gt;0),H110,"")</f>
        <v>technische randvoorwaarden</v>
      </c>
      <c r="H110" s="227" t="str">
        <f t="shared" si="33"/>
        <v>technische randvoorwaarden</v>
      </c>
      <c r="I110" s="206"/>
      <c r="J110" s="206"/>
      <c r="K110" s="206"/>
      <c r="L110" s="206"/>
      <c r="M110" s="206"/>
      <c r="N110" s="206"/>
      <c r="O110" s="206"/>
      <c r="P110" s="206"/>
      <c r="Q110" s="206"/>
      <c r="R110" s="206"/>
      <c r="S110" s="206"/>
      <c r="T110" s="206"/>
    </row>
    <row r="111" spans="1:20">
      <c r="A111" s="450"/>
      <c r="B111" s="450"/>
      <c r="C111" s="228"/>
      <c r="H111" s="206"/>
      <c r="I111" s="206"/>
      <c r="J111" s="206"/>
      <c r="K111" s="206"/>
    </row>
    <row r="112" spans="1:20">
      <c r="A112" s="450"/>
      <c r="B112" s="450"/>
      <c r="H112" s="206"/>
      <c r="I112" s="206"/>
      <c r="J112" s="206"/>
      <c r="K112" s="206"/>
    </row>
    <row r="113" spans="2:12">
      <c r="C113" s="191" t="s">
        <v>303</v>
      </c>
      <c r="D113" s="191"/>
      <c r="E113" s="191"/>
      <c r="F113" s="191"/>
      <c r="G113" s="191"/>
      <c r="H113" s="191"/>
      <c r="I113" s="191"/>
      <c r="J113" s="191"/>
      <c r="K113" s="192"/>
      <c r="L113" s="192"/>
    </row>
    <row r="114" spans="2:12">
      <c r="B114" s="429">
        <v>4</v>
      </c>
    </row>
    <row r="115" spans="2:12">
      <c r="B115" s="429"/>
      <c r="G115" s="198" t="s">
        <v>232</v>
      </c>
    </row>
    <row r="116" spans="2:12">
      <c r="B116" s="429"/>
    </row>
    <row r="117" spans="2:12" ht="12.75" customHeight="1">
      <c r="B117" s="212"/>
      <c r="C117" s="242" t="s">
        <v>230</v>
      </c>
      <c r="D117" s="240" t="s">
        <v>235</v>
      </c>
      <c r="E117" s="241" t="s">
        <v>231</v>
      </c>
      <c r="F117" s="241" t="s">
        <v>251</v>
      </c>
      <c r="G117" s="241" t="s">
        <v>30</v>
      </c>
      <c r="H117" s="300" t="s">
        <v>27</v>
      </c>
      <c r="I117" s="300" t="s">
        <v>28</v>
      </c>
      <c r="J117" s="300" t="s">
        <v>29</v>
      </c>
      <c r="K117" s="297"/>
    </row>
    <row r="118" spans="2:12">
      <c r="C118" s="299">
        <f>C91</f>
        <v>1</v>
      </c>
      <c r="D118" s="298">
        <f>B91/$B$91</f>
        <v>1</v>
      </c>
      <c r="E118" s="299" t="str">
        <f t="shared" ref="E118:F122" si="34">E91</f>
        <v>Gesloten schroefpomp FFI</v>
      </c>
      <c r="F118" s="299" t="str">
        <f t="shared" si="34"/>
        <v>Axiaal</v>
      </c>
      <c r="G118" s="342"/>
      <c r="H118" s="343"/>
      <c r="I118" s="343"/>
      <c r="J118" s="343"/>
      <c r="K118" s="297"/>
    </row>
    <row r="119" spans="2:12">
      <c r="C119" s="299">
        <f>C92</f>
        <v>2</v>
      </c>
      <c r="D119" s="298">
        <f>B92/$B$91</f>
        <v>0.97999985413343638</v>
      </c>
      <c r="E119" s="299" t="str">
        <f t="shared" si="34"/>
        <v>Nijhuis Bulbpomp</v>
      </c>
      <c r="F119" s="299" t="str">
        <f t="shared" si="34"/>
        <v>Axiaal</v>
      </c>
      <c r="G119" s="343"/>
      <c r="H119" s="343"/>
      <c r="I119" s="343"/>
      <c r="J119" s="343"/>
      <c r="K119" s="297"/>
    </row>
    <row r="120" spans="2:12">
      <c r="C120" s="299">
        <f>C93</f>
        <v>3</v>
      </c>
      <c r="D120" s="298">
        <f>B93/$B$91</f>
        <v>0.91000002359998344</v>
      </c>
      <c r="E120" s="299" t="str">
        <f t="shared" si="34"/>
        <v>Gesloten schroefpomp</v>
      </c>
      <c r="F120" s="299" t="str">
        <f t="shared" si="34"/>
        <v>Axiaal</v>
      </c>
      <c r="G120" s="343"/>
      <c r="H120" s="343"/>
      <c r="I120" s="343"/>
      <c r="J120" s="343"/>
      <c r="K120" s="297"/>
    </row>
    <row r="121" spans="2:12">
      <c r="C121" s="299">
        <f>C94</f>
        <v>4</v>
      </c>
      <c r="D121" s="298">
        <f>B94/$B$91</f>
        <v>0.88462173042286596</v>
      </c>
      <c r="E121" s="299" t="str">
        <f t="shared" si="34"/>
        <v>Vijzel (Spaans Babcock)</v>
      </c>
      <c r="F121" s="299" t="str">
        <f t="shared" si="34"/>
        <v>Vijzel</v>
      </c>
      <c r="G121" s="343"/>
      <c r="H121" s="343"/>
      <c r="I121" s="343"/>
      <c r="J121" s="343"/>
      <c r="K121" s="297"/>
    </row>
    <row r="122" spans="2:12">
      <c r="C122" s="299">
        <f>C95</f>
        <v>5</v>
      </c>
      <c r="D122" s="298">
        <f>B95/$B$91</f>
        <v>0.88239944977105556</v>
      </c>
      <c r="E122" s="299" t="str">
        <f t="shared" si="34"/>
        <v>De Wit vijzel</v>
      </c>
      <c r="F122" s="299" t="str">
        <f t="shared" si="34"/>
        <v>Vijzel</v>
      </c>
      <c r="G122" s="343"/>
      <c r="H122" s="343"/>
      <c r="I122" s="343"/>
      <c r="J122" s="343"/>
      <c r="K122" s="297"/>
    </row>
    <row r="123" spans="2:12">
      <c r="C123" s="303"/>
      <c r="D123" s="301"/>
      <c r="E123" s="297"/>
      <c r="F123" s="297"/>
      <c r="G123" s="297"/>
      <c r="H123" s="297"/>
      <c r="I123" s="297"/>
      <c r="J123" s="297"/>
      <c r="K123" s="297"/>
    </row>
    <row r="126" spans="2:12">
      <c r="C126" s="200"/>
    </row>
  </sheetData>
  <mergeCells count="11">
    <mergeCell ref="E47:L47"/>
    <mergeCell ref="E48:L48"/>
    <mergeCell ref="E49:L49"/>
    <mergeCell ref="E50:L50"/>
    <mergeCell ref="B43:B45"/>
    <mergeCell ref="B7:B9"/>
    <mergeCell ref="B114:B116"/>
    <mergeCell ref="B87:B89"/>
    <mergeCell ref="E51:L51"/>
    <mergeCell ref="E52:L52"/>
    <mergeCell ref="E53:L53"/>
  </mergeCells>
  <phoneticPr fontId="2" type="noConversion"/>
  <conditionalFormatting sqref="C16:F38">
    <cfRule type="expression" dxfId="12" priority="1" stopIfTrue="1">
      <formula>IF($F16=0,1,)</formula>
    </cfRule>
  </conditionalFormatting>
  <conditionalFormatting sqref="C80:D83 G80:G83">
    <cfRule type="expression" dxfId="11" priority="2" stopIfTrue="1">
      <formula>IF($F35=0,1,)</formula>
    </cfRule>
  </conditionalFormatting>
  <conditionalFormatting sqref="C118:C122 E118:F122">
    <cfRule type="expression" dxfId="10" priority="3" stopIfTrue="1">
      <formula>IF($D118=0,1,)</formula>
    </cfRule>
  </conditionalFormatting>
  <conditionalFormatting sqref="E91:E110">
    <cfRule type="expression" dxfId="9" priority="4" stopIfTrue="1">
      <formula>IF(B91=0,1,)</formula>
    </cfRule>
  </conditionalFormatting>
  <conditionalFormatting sqref="F91:F110">
    <cfRule type="expression" dxfId="8" priority="5" stopIfTrue="1">
      <formula>IF(ISNUMBER(D91),IF(D91&gt;0,,1),1)</formula>
    </cfRule>
  </conditionalFormatting>
  <conditionalFormatting sqref="C91:C110">
    <cfRule type="expression" dxfId="7" priority="6" stopIfTrue="1">
      <formula>IF(ISNUMBER(D91),IF(D91&gt;0,,1),1)</formula>
    </cfRule>
  </conditionalFormatting>
  <conditionalFormatting sqref="G39">
    <cfRule type="expression" dxfId="6" priority="7" stopIfTrue="1">
      <formula>IF($G39&gt;0,,1)</formula>
    </cfRule>
  </conditionalFormatting>
  <conditionalFormatting sqref="E61:E83">
    <cfRule type="expression" dxfId="5" priority="8" stopIfTrue="1">
      <formula>IF(W61&gt;0,,1)</formula>
    </cfRule>
  </conditionalFormatting>
  <conditionalFormatting sqref="H61:H83 W61:X83">
    <cfRule type="expression" dxfId="4" priority="9" stopIfTrue="1">
      <formula>IF(H61&gt;0,,1)</formula>
    </cfRule>
  </conditionalFormatting>
  <conditionalFormatting sqref="I91:I110">
    <cfRule type="expression" dxfId="3" priority="10" stopIfTrue="1">
      <formula>#REF!&gt;0.5</formula>
    </cfRule>
  </conditionalFormatting>
  <conditionalFormatting sqref="D118:D122 G91:G110">
    <cfRule type="cellIs" dxfId="2" priority="11" stopIfTrue="1" operator="equal">
      <formula>0</formula>
    </cfRule>
  </conditionalFormatting>
  <conditionalFormatting sqref="D91:D110">
    <cfRule type="expression" dxfId="1" priority="12" stopIfTrue="1">
      <formula>IF(D91&gt;0,,1)</formula>
    </cfRule>
  </conditionalFormatting>
  <conditionalFormatting sqref="C61:D79 G61:G79">
    <cfRule type="expression" dxfId="0" priority="13" stopIfTrue="1">
      <formula>IF($F16=0,1,)</formula>
    </cfRule>
  </conditionalFormatting>
  <pageMargins left="0.75" right="0.75" top="1" bottom="1" header="0.5" footer="0.5"/>
  <pageSetup paperSize="9" orientation="portrait" r:id="rId1"/>
  <headerFooter alignWithMargins="0"/>
  <ignoredErrors>
    <ignoredError sqref="D118:D122" formula="1"/>
  </ignoredErrors>
  <legacyDrawing r:id="rId2"/>
</worksheet>
</file>

<file path=xl/worksheets/sheet5.xml><?xml version="1.0" encoding="utf-8"?>
<worksheet xmlns="http://schemas.openxmlformats.org/spreadsheetml/2006/main" xmlns:r="http://schemas.openxmlformats.org/officeDocument/2006/relationships">
  <sheetPr codeName="Blad5">
    <pageSetUpPr fitToPage="1"/>
  </sheetPr>
  <dimension ref="A1:EJ136"/>
  <sheetViews>
    <sheetView workbookViewId="0">
      <pane xSplit="1" ySplit="4" topLeftCell="B5" activePane="bottomRight" state="frozen"/>
      <selection pane="topRight" activeCell="B1" sqref="B1"/>
      <selection pane="bottomLeft" activeCell="A5" sqref="A5"/>
      <selection pane="bottomRight" activeCell="D9" sqref="D9"/>
    </sheetView>
  </sheetViews>
  <sheetFormatPr defaultRowHeight="12.75"/>
  <cols>
    <col min="1" max="1" width="4" bestFit="1" customWidth="1"/>
    <col min="2" max="2" width="13.85546875" style="163" customWidth="1"/>
    <col min="3" max="3" width="29.5703125" customWidth="1"/>
    <col min="4" max="4" width="9.5703125" customWidth="1"/>
    <col min="5" max="6" width="7.5703125" bestFit="1" customWidth="1"/>
    <col min="7" max="7" width="8.140625" customWidth="1"/>
    <col min="8" max="9" width="7.140625" customWidth="1"/>
    <col min="10" max="18" width="7.42578125" customWidth="1"/>
    <col min="19" max="19" width="7.42578125" style="163" customWidth="1"/>
    <col min="20" max="22" width="7.42578125" customWidth="1"/>
    <col min="23" max="23" width="15.85546875" customWidth="1"/>
    <col min="24" max="24" width="10.5703125" customWidth="1"/>
    <col min="25" max="25" width="39" bestFit="1" customWidth="1"/>
    <col min="26" max="26" width="17.28515625" style="4" customWidth="1"/>
    <col min="27" max="50" width="9.140625" style="4"/>
    <col min="51" max="51" width="189" style="4" bestFit="1" customWidth="1"/>
    <col min="52" max="131" width="9.140625" style="4"/>
  </cols>
  <sheetData>
    <row r="1" spans="1:131" ht="13.5" thickBot="1">
      <c r="A1" s="1"/>
      <c r="B1" s="3"/>
      <c r="C1" s="2"/>
      <c r="D1" s="2"/>
      <c r="E1" s="2"/>
      <c r="F1" s="2"/>
      <c r="G1" s="2"/>
      <c r="H1" s="2"/>
      <c r="I1" s="2"/>
      <c r="J1" s="2"/>
      <c r="K1" s="2"/>
      <c r="L1" s="2"/>
      <c r="M1" s="2"/>
      <c r="N1" s="2"/>
      <c r="O1" s="2"/>
      <c r="P1" s="2"/>
      <c r="Q1" s="2"/>
      <c r="R1" s="2"/>
      <c r="S1" s="3"/>
      <c r="T1" s="2"/>
      <c r="U1" s="2"/>
      <c r="V1" s="2"/>
      <c r="W1" s="2"/>
      <c r="X1" s="4"/>
      <c r="Y1" s="5"/>
      <c r="EA1"/>
    </row>
    <row r="2" spans="1:131" ht="20.25" customHeight="1" thickBot="1">
      <c r="A2" s="6"/>
      <c r="B2" s="363"/>
      <c r="C2" s="7"/>
      <c r="D2" s="8"/>
      <c r="E2" s="9" t="s">
        <v>51</v>
      </c>
      <c r="F2" s="10"/>
      <c r="G2" s="8"/>
      <c r="H2" s="434" t="s">
        <v>212</v>
      </c>
      <c r="I2" s="435"/>
      <c r="J2" s="435"/>
      <c r="K2" s="435"/>
      <c r="L2" s="435"/>
      <c r="M2" s="435"/>
      <c r="N2" s="435"/>
      <c r="O2" s="435"/>
      <c r="P2" s="435"/>
      <c r="Q2" s="435"/>
      <c r="R2" s="435"/>
      <c r="S2" s="435"/>
      <c r="T2" s="435"/>
      <c r="U2" s="435"/>
      <c r="V2" s="435"/>
      <c r="W2" s="436"/>
      <c r="X2" s="4"/>
      <c r="Y2" s="11"/>
      <c r="AA2" s="209" t="s">
        <v>347</v>
      </c>
      <c r="AB2" s="209"/>
      <c r="AC2" s="209"/>
      <c r="AD2" s="209"/>
      <c r="AE2" s="209"/>
      <c r="AF2" s="209"/>
      <c r="AG2" s="209"/>
      <c r="AH2" s="209"/>
      <c r="AI2" s="209"/>
      <c r="AJ2" s="209"/>
      <c r="AK2" s="209" t="s">
        <v>344</v>
      </c>
      <c r="AL2" s="209"/>
      <c r="AM2" s="209"/>
      <c r="AN2" s="209"/>
      <c r="AO2" s="209"/>
      <c r="AP2" s="209"/>
      <c r="AQ2" s="209"/>
      <c r="AR2" s="209"/>
      <c r="AS2" s="209"/>
      <c r="AT2" s="209"/>
      <c r="AU2" s="209" t="s">
        <v>345</v>
      </c>
      <c r="AY2" s="12"/>
      <c r="DZ2"/>
      <c r="EA2"/>
    </row>
    <row r="3" spans="1:131" ht="13.5" thickBot="1">
      <c r="A3" s="6"/>
      <c r="B3" s="364"/>
      <c r="C3" s="13"/>
      <c r="D3" s="13"/>
      <c r="E3" s="13" t="s">
        <v>52</v>
      </c>
      <c r="F3" s="14"/>
      <c r="G3" s="437" t="s">
        <v>53</v>
      </c>
      <c r="H3" s="438"/>
      <c r="I3" s="438"/>
      <c r="J3" s="438"/>
      <c r="K3" s="438"/>
      <c r="L3" s="438"/>
      <c r="M3" s="438"/>
      <c r="N3" s="438"/>
      <c r="O3" s="438"/>
      <c r="P3" s="438"/>
      <c r="Q3" s="438"/>
      <c r="R3" s="438"/>
      <c r="S3" s="438"/>
      <c r="T3" s="438"/>
      <c r="U3" s="438"/>
      <c r="V3" s="439"/>
      <c r="W3" s="15" t="s">
        <v>54</v>
      </c>
      <c r="X3" s="4"/>
      <c r="Y3" s="4"/>
      <c r="AK3" s="440"/>
      <c r="AL3" s="440"/>
      <c r="AM3" s="440"/>
      <c r="AN3" s="440"/>
      <c r="AO3" s="440"/>
      <c r="AP3" s="440"/>
      <c r="AQ3" s="440"/>
      <c r="AR3" s="440"/>
      <c r="AS3" s="440"/>
      <c r="DZ3"/>
      <c r="EA3"/>
    </row>
    <row r="4" spans="1:131" ht="99" customHeight="1" thickBot="1">
      <c r="A4" s="16"/>
      <c r="B4" s="365" t="s">
        <v>55</v>
      </c>
      <c r="C4" s="17" t="s">
        <v>228</v>
      </c>
      <c r="D4" s="18" t="s">
        <v>413</v>
      </c>
      <c r="E4" s="19" t="s">
        <v>56</v>
      </c>
      <c r="F4" s="19" t="s">
        <v>57</v>
      </c>
      <c r="G4" s="20" t="s">
        <v>58</v>
      </c>
      <c r="H4" s="20" t="s">
        <v>59</v>
      </c>
      <c r="I4" s="20" t="s">
        <v>60</v>
      </c>
      <c r="J4" s="20" t="s">
        <v>62</v>
      </c>
      <c r="K4" s="20" t="s">
        <v>61</v>
      </c>
      <c r="L4" s="20" t="s">
        <v>63</v>
      </c>
      <c r="M4" s="20" t="s">
        <v>65</v>
      </c>
      <c r="N4" s="20" t="s">
        <v>64</v>
      </c>
      <c r="O4" s="20" t="s">
        <v>66</v>
      </c>
      <c r="P4" s="20" t="str">
        <f>AU4</f>
        <v>schubvis &lt;15cm</v>
      </c>
      <c r="Q4" s="20" t="str">
        <f>AV4</f>
        <v>schubvis &gt;15cm</v>
      </c>
      <c r="R4" s="20" t="str">
        <f>AW4</f>
        <v>Totaal schubvis</v>
      </c>
      <c r="S4" s="20" t="s">
        <v>213</v>
      </c>
      <c r="T4" s="21" t="s">
        <v>214</v>
      </c>
      <c r="U4" s="21" t="s">
        <v>67</v>
      </c>
      <c r="V4" s="21" t="s">
        <v>68</v>
      </c>
      <c r="W4" s="22" t="s">
        <v>215</v>
      </c>
      <c r="X4" s="4"/>
      <c r="Y4" s="23" t="s">
        <v>69</v>
      </c>
      <c r="AA4" s="20" t="s">
        <v>58</v>
      </c>
      <c r="AB4" s="20" t="s">
        <v>59</v>
      </c>
      <c r="AC4" s="20" t="s">
        <v>60</v>
      </c>
      <c r="AD4" s="20" t="s">
        <v>62</v>
      </c>
      <c r="AE4" s="20" t="s">
        <v>61</v>
      </c>
      <c r="AF4" s="20" t="s">
        <v>63</v>
      </c>
      <c r="AG4" s="20" t="s">
        <v>65</v>
      </c>
      <c r="AH4" s="20" t="s">
        <v>64</v>
      </c>
      <c r="AI4" s="20" t="s">
        <v>66</v>
      </c>
      <c r="AJ4" s="331"/>
      <c r="AK4" s="20" t="s">
        <v>58</v>
      </c>
      <c r="AL4" s="20" t="s">
        <v>59</v>
      </c>
      <c r="AM4" s="20" t="s">
        <v>60</v>
      </c>
      <c r="AN4" s="20" t="s">
        <v>62</v>
      </c>
      <c r="AO4" s="20" t="s">
        <v>61</v>
      </c>
      <c r="AP4" s="20" t="s">
        <v>63</v>
      </c>
      <c r="AQ4" s="20" t="s">
        <v>65</v>
      </c>
      <c r="AR4" s="20" t="s">
        <v>64</v>
      </c>
      <c r="AS4" s="20" t="s">
        <v>66</v>
      </c>
      <c r="AU4" s="20" t="s">
        <v>350</v>
      </c>
      <c r="AV4" s="20" t="s">
        <v>351</v>
      </c>
      <c r="AW4" s="20" t="s">
        <v>346</v>
      </c>
      <c r="AY4" s="23" t="s">
        <v>70</v>
      </c>
      <c r="DZ4"/>
      <c r="EA4"/>
    </row>
    <row r="5" spans="1:131" s="35" customFormat="1" ht="15.75" customHeight="1" thickBot="1">
      <c r="A5" s="24">
        <v>1</v>
      </c>
      <c r="B5" s="165" t="s">
        <v>20</v>
      </c>
      <c r="C5" s="25" t="s">
        <v>45</v>
      </c>
      <c r="D5" s="26">
        <v>0.6</v>
      </c>
      <c r="E5" s="27">
        <v>1</v>
      </c>
      <c r="F5" s="28">
        <v>57</v>
      </c>
      <c r="G5" s="29">
        <v>0</v>
      </c>
      <c r="H5" s="29">
        <v>0</v>
      </c>
      <c r="I5" s="30">
        <v>0</v>
      </c>
      <c r="J5" s="31"/>
      <c r="K5" s="31"/>
      <c r="L5" s="31"/>
      <c r="M5" s="344">
        <f>IF(ISNUMBER(AQ5/AG5*100),ROUND(AQ5/AG5*100,0),"")</f>
        <v>0</v>
      </c>
      <c r="N5" s="344">
        <f t="shared" ref="N5:N27" si="0">IF(ISNUMBER(AR5/AH5*100),ROUND(AR5/AH5*100,0),"")</f>
        <v>0</v>
      </c>
      <c r="O5" s="31">
        <f t="shared" ref="O5:O27" si="1">IF(ISNUMBER(AS5/AI5*100),ROUND(AS5/AI5*100,0),"")</f>
        <v>0</v>
      </c>
      <c r="P5" s="344">
        <f t="shared" ref="P5:R6" si="2">IF(ISNUMBER(AU5),ROUND(AU5,0),"")</f>
        <v>0</v>
      </c>
      <c r="Q5" s="344">
        <f t="shared" si="2"/>
        <v>0</v>
      </c>
      <c r="R5" s="31">
        <f t="shared" si="2"/>
        <v>0</v>
      </c>
      <c r="S5" s="133"/>
      <c r="T5" s="33"/>
      <c r="U5" s="32"/>
      <c r="V5" s="33"/>
      <c r="W5" s="32"/>
      <c r="X5" s="4"/>
      <c r="Y5" s="34" t="s">
        <v>71</v>
      </c>
      <c r="Z5" s="4"/>
      <c r="AA5" s="326">
        <v>23</v>
      </c>
      <c r="AB5" s="326">
        <f t="shared" ref="AB5:AB13" si="3">AC5-AA5</f>
        <v>75</v>
      </c>
      <c r="AC5" s="326">
        <v>98</v>
      </c>
      <c r="AD5" s="326">
        <v>1</v>
      </c>
      <c r="AE5" s="326">
        <v>3</v>
      </c>
      <c r="AF5" s="326">
        <f t="shared" ref="AF5:AF16" si="4">IF((AD5+AE5&gt;0),AD5+AE5,"")</f>
        <v>4</v>
      </c>
      <c r="AG5" s="326">
        <v>10</v>
      </c>
      <c r="AH5" s="326">
        <f>26+34</f>
        <v>60</v>
      </c>
      <c r="AI5" s="326">
        <f t="shared" ref="AI5:AI16" si="5">IF((AG5+AH5&gt;0),AG5+AH5,"")</f>
        <v>70</v>
      </c>
      <c r="AJ5" s="4"/>
      <c r="AK5" s="326">
        <v>0</v>
      </c>
      <c r="AL5" s="326">
        <f t="shared" ref="AL5:AL11" si="6">AM5-AK5</f>
        <v>0</v>
      </c>
      <c r="AM5" s="326">
        <v>0</v>
      </c>
      <c r="AN5" s="326">
        <v>0</v>
      </c>
      <c r="AO5" s="326">
        <v>0</v>
      </c>
      <c r="AP5" s="326">
        <f>AN5+AO5</f>
        <v>0</v>
      </c>
      <c r="AQ5" s="326">
        <v>0</v>
      </c>
      <c r="AR5" s="326">
        <v>0</v>
      </c>
      <c r="AS5" s="326">
        <f>AQ5+AR5</f>
        <v>0</v>
      </c>
      <c r="AT5" s="4"/>
      <c r="AU5" s="327">
        <f>IF(ISNUMBER((SUM(AN5,AQ5)/SUM(AD5,AG5))*100),(SUM(AN5,AQ5)/SUM(AD5,AG5))*100,"")</f>
        <v>0</v>
      </c>
      <c r="AV5" s="327">
        <f t="shared" ref="AV5:AV36" si="7">IF(ISNUMBER((SUM(AO5,AR5)/SUM(AE5,AH5))*100),(SUM(AO5,AR5)/SUM(AE5,AH5))*100,"")</f>
        <v>0</v>
      </c>
      <c r="AW5" s="327">
        <f t="shared" ref="AW5:AW36" si="8">IF(ISNUMBER((SUM(AP5,AS5)/SUM(AF5,AI5))*100),(SUM(AP5,AS5)/SUM(AF5,AI5))*100,"")</f>
        <v>0</v>
      </c>
      <c r="AX5" s="4"/>
      <c r="AY5" s="328" t="s">
        <v>72</v>
      </c>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row>
    <row r="6" spans="1:131" s="35" customFormat="1" ht="15.75" customHeight="1">
      <c r="A6" s="24">
        <v>2</v>
      </c>
      <c r="B6" s="165" t="s">
        <v>20</v>
      </c>
      <c r="C6" s="36" t="s">
        <v>45</v>
      </c>
      <c r="D6" s="37">
        <v>10</v>
      </c>
      <c r="E6" s="38">
        <v>1.05</v>
      </c>
      <c r="F6" s="39">
        <v>42</v>
      </c>
      <c r="G6" s="40"/>
      <c r="H6" s="29">
        <v>1</v>
      </c>
      <c r="I6" s="30">
        <v>1</v>
      </c>
      <c r="J6" s="31">
        <f t="shared" ref="J6:J27" si="9">IF(ISNUMBER(AN6/AD6*100),ROUND(AN6/AD6*100,0),"")</f>
        <v>2</v>
      </c>
      <c r="K6" s="31">
        <f t="shared" ref="K6:K27" si="10">IF(ISNUMBER(AO6/AE6*100),ROUND(AO6/AE6*100,0),"")</f>
        <v>0</v>
      </c>
      <c r="L6" s="31">
        <f t="shared" ref="L6:L27" si="11">IF(ISNUMBER(AP6/AF6*100),ROUND(AP6/AF6*100,0),"")</f>
        <v>2</v>
      </c>
      <c r="M6" s="31">
        <f t="shared" ref="M6:M27" si="12">IF(ISNUMBER(AQ6/AG6*100),ROUND(AQ6/AG6*100,0),"")</f>
        <v>0</v>
      </c>
      <c r="N6" s="31">
        <f t="shared" si="0"/>
        <v>0</v>
      </c>
      <c r="O6" s="31">
        <f t="shared" si="1"/>
        <v>0</v>
      </c>
      <c r="P6" s="31">
        <f t="shared" si="2"/>
        <v>1</v>
      </c>
      <c r="Q6" s="31">
        <f t="shared" si="2"/>
        <v>0</v>
      </c>
      <c r="R6" s="31">
        <f t="shared" si="2"/>
        <v>1</v>
      </c>
      <c r="S6" s="33"/>
      <c r="T6" s="33"/>
      <c r="U6" s="42"/>
      <c r="V6" s="33"/>
      <c r="W6" s="42"/>
      <c r="X6" s="4"/>
      <c r="Y6" s="43" t="s">
        <v>73</v>
      </c>
      <c r="Z6" s="4"/>
      <c r="AA6" s="326"/>
      <c r="AB6" s="326">
        <f t="shared" si="3"/>
        <v>2292</v>
      </c>
      <c r="AC6" s="326">
        <v>2292</v>
      </c>
      <c r="AD6" s="326">
        <v>1325</v>
      </c>
      <c r="AE6" s="326">
        <v>5</v>
      </c>
      <c r="AF6" s="326">
        <f t="shared" si="4"/>
        <v>1330</v>
      </c>
      <c r="AG6" s="326">
        <v>953</v>
      </c>
      <c r="AH6" s="326">
        <v>7</v>
      </c>
      <c r="AI6" s="326">
        <f t="shared" si="5"/>
        <v>960</v>
      </c>
      <c r="AJ6" s="4"/>
      <c r="AK6" s="326"/>
      <c r="AL6" s="326">
        <f t="shared" si="6"/>
        <v>29</v>
      </c>
      <c r="AM6" s="326">
        <v>29</v>
      </c>
      <c r="AN6" s="326">
        <v>25</v>
      </c>
      <c r="AO6" s="326">
        <v>0</v>
      </c>
      <c r="AP6" s="326">
        <f>AN6+AO6</f>
        <v>25</v>
      </c>
      <c r="AQ6" s="326">
        <v>4</v>
      </c>
      <c r="AR6" s="326">
        <v>0</v>
      </c>
      <c r="AS6" s="326">
        <f>AQ6+AR6</f>
        <v>4</v>
      </c>
      <c r="AT6" s="4"/>
      <c r="AU6" s="327">
        <f t="shared" ref="AU6:AU36" si="13">IF(ISNUMBER((SUM(AN6,AQ6)/SUM(AD6,AG6))*100),(SUM(AN6,AQ6)/SUM(AD6,AG6))*100,"")</f>
        <v>1.2730465320456541</v>
      </c>
      <c r="AV6" s="327">
        <f t="shared" si="7"/>
        <v>0</v>
      </c>
      <c r="AW6" s="327">
        <f t="shared" si="8"/>
        <v>1.2663755458515285</v>
      </c>
      <c r="AX6" s="4"/>
      <c r="AY6" s="328" t="s">
        <v>74</v>
      </c>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row>
    <row r="7" spans="1:131" ht="14.25" customHeight="1">
      <c r="A7" s="24">
        <v>3</v>
      </c>
      <c r="B7" s="165" t="s">
        <v>20</v>
      </c>
      <c r="C7" s="44" t="s">
        <v>44</v>
      </c>
      <c r="D7" s="45">
        <v>23</v>
      </c>
      <c r="E7" s="27">
        <v>0.73</v>
      </c>
      <c r="F7" s="25"/>
      <c r="G7" s="46">
        <v>0</v>
      </c>
      <c r="H7" s="29">
        <v>1</v>
      </c>
      <c r="I7" s="30">
        <v>1</v>
      </c>
      <c r="J7" s="31">
        <f t="shared" si="9"/>
        <v>0</v>
      </c>
      <c r="K7" s="31">
        <f t="shared" si="10"/>
        <v>0</v>
      </c>
      <c r="L7" s="31">
        <f t="shared" si="11"/>
        <v>0</v>
      </c>
      <c r="M7" s="31">
        <f t="shared" si="12"/>
        <v>2</v>
      </c>
      <c r="N7" s="31">
        <f t="shared" si="0"/>
        <v>0</v>
      </c>
      <c r="O7" s="31">
        <f t="shared" si="1"/>
        <v>2</v>
      </c>
      <c r="P7" s="31">
        <f t="shared" ref="P7:P27" si="14">IF(ISNUMBER(AU7),ROUND(AU7,0),"")</f>
        <v>1</v>
      </c>
      <c r="Q7" s="31">
        <f t="shared" ref="Q7:Q27" si="15">IF(ISNUMBER(AV7),ROUND(AV7,0),"")</f>
        <v>0</v>
      </c>
      <c r="R7" s="31">
        <f t="shared" ref="R7:R70" si="16">IF(ISNUMBER(AW7),ROUND(AW7,0),"")</f>
        <v>1</v>
      </c>
      <c r="S7" s="33" t="s">
        <v>75</v>
      </c>
      <c r="T7" s="42" t="s">
        <v>75</v>
      </c>
      <c r="U7" s="42" t="s">
        <v>76</v>
      </c>
      <c r="V7" s="42" t="s">
        <v>75</v>
      </c>
      <c r="W7" s="42" t="s">
        <v>77</v>
      </c>
      <c r="X7" s="4"/>
      <c r="Y7" s="49" t="s">
        <v>78</v>
      </c>
      <c r="AA7" s="326">
        <v>9</v>
      </c>
      <c r="AB7" s="326">
        <f t="shared" si="3"/>
        <v>93</v>
      </c>
      <c r="AC7" s="326">
        <v>102</v>
      </c>
      <c r="AD7" s="326">
        <v>33</v>
      </c>
      <c r="AE7" s="326">
        <v>4</v>
      </c>
      <c r="AF7" s="326">
        <f t="shared" si="4"/>
        <v>37</v>
      </c>
      <c r="AG7" s="326">
        <v>45</v>
      </c>
      <c r="AH7" s="326">
        <v>2</v>
      </c>
      <c r="AI7" s="326">
        <f t="shared" si="5"/>
        <v>47</v>
      </c>
      <c r="AK7" s="326">
        <v>0</v>
      </c>
      <c r="AL7" s="326">
        <f t="shared" si="6"/>
        <v>1</v>
      </c>
      <c r="AM7" s="326">
        <v>1</v>
      </c>
      <c r="AN7" s="326">
        <v>0</v>
      </c>
      <c r="AO7" s="326">
        <v>0</v>
      </c>
      <c r="AP7" s="326">
        <f>AN7+AO7</f>
        <v>0</v>
      </c>
      <c r="AQ7" s="326">
        <v>1</v>
      </c>
      <c r="AR7" s="326">
        <v>0</v>
      </c>
      <c r="AS7" s="326">
        <f>AQ7+AR7</f>
        <v>1</v>
      </c>
      <c r="AU7" s="327">
        <f t="shared" si="13"/>
        <v>1.2820512820512819</v>
      </c>
      <c r="AV7" s="327">
        <f t="shared" si="7"/>
        <v>0</v>
      </c>
      <c r="AW7" s="327">
        <f t="shared" si="8"/>
        <v>1.1904761904761905</v>
      </c>
      <c r="AY7" s="328" t="s">
        <v>74</v>
      </c>
      <c r="DZ7"/>
      <c r="EA7"/>
    </row>
    <row r="8" spans="1:131" ht="14.25" customHeight="1">
      <c r="A8" s="24">
        <v>4</v>
      </c>
      <c r="B8" s="165" t="s">
        <v>20</v>
      </c>
      <c r="C8" s="36" t="s">
        <v>44</v>
      </c>
      <c r="D8" s="50">
        <v>30</v>
      </c>
      <c r="E8" s="51">
        <v>2.9</v>
      </c>
      <c r="F8" s="52">
        <v>39</v>
      </c>
      <c r="G8" s="53">
        <v>4</v>
      </c>
      <c r="H8" s="53">
        <v>44</v>
      </c>
      <c r="I8" s="31"/>
      <c r="J8" s="31" t="str">
        <f t="shared" si="9"/>
        <v/>
      </c>
      <c r="K8" s="31" t="str">
        <f t="shared" si="10"/>
        <v/>
      </c>
      <c r="L8" s="31" t="str">
        <f t="shared" si="11"/>
        <v/>
      </c>
      <c r="M8" s="31" t="str">
        <f t="shared" si="12"/>
        <v/>
      </c>
      <c r="N8" s="31" t="str">
        <f t="shared" si="0"/>
        <v/>
      </c>
      <c r="O8" s="31" t="str">
        <f t="shared" si="1"/>
        <v/>
      </c>
      <c r="P8" s="31" t="str">
        <f t="shared" si="14"/>
        <v/>
      </c>
      <c r="Q8" s="31" t="str">
        <f t="shared" si="15"/>
        <v/>
      </c>
      <c r="R8" s="31" t="str">
        <f t="shared" si="16"/>
        <v/>
      </c>
      <c r="S8" s="33"/>
      <c r="T8" s="33"/>
      <c r="U8" s="42"/>
      <c r="V8" s="33"/>
      <c r="W8" s="42"/>
      <c r="X8" s="4"/>
      <c r="Y8" s="54" t="s">
        <v>79</v>
      </c>
      <c r="Z8" s="325"/>
      <c r="AA8" s="326"/>
      <c r="AB8" s="326"/>
      <c r="AC8" s="326"/>
      <c r="AD8" s="326"/>
      <c r="AE8" s="326"/>
      <c r="AF8" s="326" t="str">
        <f t="shared" si="4"/>
        <v/>
      </c>
      <c r="AG8" s="326"/>
      <c r="AH8" s="326"/>
      <c r="AI8" s="326" t="str">
        <f t="shared" si="5"/>
        <v/>
      </c>
      <c r="AK8" s="326"/>
      <c r="AL8" s="326"/>
      <c r="AM8" s="326"/>
      <c r="AN8" s="326"/>
      <c r="AO8" s="326"/>
      <c r="AP8" s="326"/>
      <c r="AQ8" s="326"/>
      <c r="AR8" s="326"/>
      <c r="AS8" s="326"/>
      <c r="AU8" s="327" t="str">
        <f t="shared" si="13"/>
        <v/>
      </c>
      <c r="AV8" s="327" t="str">
        <f t="shared" si="7"/>
        <v/>
      </c>
      <c r="AW8" s="327" t="str">
        <f t="shared" si="8"/>
        <v/>
      </c>
      <c r="AY8" s="329" t="s">
        <v>80</v>
      </c>
      <c r="DZ8"/>
      <c r="EA8"/>
    </row>
    <row r="9" spans="1:131" ht="14.25" customHeight="1">
      <c r="A9" s="24">
        <v>5</v>
      </c>
      <c r="B9" s="165" t="s">
        <v>20</v>
      </c>
      <c r="C9" s="36" t="s">
        <v>44</v>
      </c>
      <c r="D9" s="50">
        <v>35</v>
      </c>
      <c r="E9" s="51">
        <v>3.6</v>
      </c>
      <c r="F9" s="52">
        <v>37</v>
      </c>
      <c r="G9" s="55">
        <v>0</v>
      </c>
      <c r="H9" s="55">
        <v>20</v>
      </c>
      <c r="I9" s="48"/>
      <c r="J9" s="31" t="str">
        <f t="shared" si="9"/>
        <v/>
      </c>
      <c r="K9" s="31" t="str">
        <f t="shared" si="10"/>
        <v/>
      </c>
      <c r="L9" s="31" t="str">
        <f>IF(ISNUMBER(AP9/AF9*100),ROUND(AP9/AF9*100,0),"")</f>
        <v/>
      </c>
      <c r="M9" s="31" t="str">
        <f t="shared" si="12"/>
        <v/>
      </c>
      <c r="N9" s="31" t="str">
        <f t="shared" si="0"/>
        <v/>
      </c>
      <c r="O9" s="31" t="str">
        <f t="shared" si="1"/>
        <v/>
      </c>
      <c r="P9" s="31" t="str">
        <f t="shared" si="14"/>
        <v/>
      </c>
      <c r="Q9" s="31" t="str">
        <f t="shared" si="15"/>
        <v/>
      </c>
      <c r="R9" s="31" t="str">
        <f t="shared" si="16"/>
        <v/>
      </c>
      <c r="S9" s="33"/>
      <c r="T9" s="33"/>
      <c r="U9" s="42"/>
      <c r="V9" s="33"/>
      <c r="W9" s="42"/>
      <c r="X9" s="4"/>
      <c r="Y9" s="54" t="s">
        <v>81</v>
      </c>
      <c r="AA9" s="326"/>
      <c r="AB9" s="326"/>
      <c r="AC9" s="326"/>
      <c r="AD9" s="326"/>
      <c r="AE9" s="326"/>
      <c r="AF9" s="326" t="str">
        <f t="shared" si="4"/>
        <v/>
      </c>
      <c r="AG9" s="326"/>
      <c r="AH9" s="326"/>
      <c r="AI9" s="326" t="str">
        <f t="shared" si="5"/>
        <v/>
      </c>
      <c r="AK9" s="326"/>
      <c r="AL9" s="326"/>
      <c r="AM9" s="326"/>
      <c r="AN9" s="326"/>
      <c r="AO9" s="326"/>
      <c r="AP9" s="326"/>
      <c r="AQ9" s="326"/>
      <c r="AR9" s="326"/>
      <c r="AS9" s="326"/>
      <c r="AU9" s="327" t="str">
        <f t="shared" si="13"/>
        <v/>
      </c>
      <c r="AV9" s="327" t="str">
        <f t="shared" si="7"/>
        <v/>
      </c>
      <c r="AW9" s="327" t="str">
        <f t="shared" si="8"/>
        <v/>
      </c>
      <c r="AY9" s="328" t="s">
        <v>82</v>
      </c>
      <c r="DZ9"/>
      <c r="EA9"/>
    </row>
    <row r="10" spans="1:131" ht="14.25" customHeight="1">
      <c r="A10" s="24">
        <v>6</v>
      </c>
      <c r="B10" s="165" t="s">
        <v>20</v>
      </c>
      <c r="C10" s="57" t="s">
        <v>20</v>
      </c>
      <c r="D10" s="58">
        <v>40</v>
      </c>
      <c r="E10" s="38"/>
      <c r="F10" s="59"/>
      <c r="G10" s="60"/>
      <c r="H10" s="60"/>
      <c r="I10" s="48"/>
      <c r="J10" s="31" t="str">
        <f t="shared" si="9"/>
        <v/>
      </c>
      <c r="K10" s="31" t="str">
        <f t="shared" si="10"/>
        <v/>
      </c>
      <c r="L10" s="31" t="str">
        <f t="shared" si="11"/>
        <v/>
      </c>
      <c r="M10" s="31" t="str">
        <f t="shared" si="12"/>
        <v/>
      </c>
      <c r="N10" s="31" t="str">
        <f t="shared" si="0"/>
        <v/>
      </c>
      <c r="O10" s="31" t="str">
        <f t="shared" si="1"/>
        <v/>
      </c>
      <c r="P10" s="31" t="str">
        <f t="shared" si="14"/>
        <v/>
      </c>
      <c r="Q10" s="31" t="str">
        <f t="shared" si="15"/>
        <v/>
      </c>
      <c r="R10" s="31" t="str">
        <f t="shared" si="16"/>
        <v/>
      </c>
      <c r="S10" s="33"/>
      <c r="T10" s="33"/>
      <c r="U10" s="42"/>
      <c r="V10" s="33"/>
      <c r="W10" s="42"/>
      <c r="X10" s="4"/>
      <c r="Y10" s="56" t="s">
        <v>83</v>
      </c>
      <c r="AA10" s="326"/>
      <c r="AB10" s="326"/>
      <c r="AC10" s="326"/>
      <c r="AD10" s="326"/>
      <c r="AE10" s="326"/>
      <c r="AF10" s="326" t="str">
        <f t="shared" si="4"/>
        <v/>
      </c>
      <c r="AG10" s="326"/>
      <c r="AH10" s="326"/>
      <c r="AI10" s="326" t="str">
        <f t="shared" si="5"/>
        <v/>
      </c>
      <c r="AK10" s="326"/>
      <c r="AL10" s="326"/>
      <c r="AM10" s="326"/>
      <c r="AN10" s="326"/>
      <c r="AO10" s="326"/>
      <c r="AP10" s="326"/>
      <c r="AQ10" s="326"/>
      <c r="AR10" s="326"/>
      <c r="AS10" s="326"/>
      <c r="AU10" s="327" t="str">
        <f t="shared" si="13"/>
        <v/>
      </c>
      <c r="AV10" s="327" t="str">
        <f t="shared" si="7"/>
        <v/>
      </c>
      <c r="AW10" s="327" t="str">
        <f t="shared" si="8"/>
        <v/>
      </c>
      <c r="AY10" s="328" t="s">
        <v>84</v>
      </c>
      <c r="DZ10"/>
      <c r="EA10"/>
    </row>
    <row r="11" spans="1:131" ht="14.25" customHeight="1">
      <c r="A11" s="24">
        <v>7</v>
      </c>
      <c r="B11" s="165" t="s">
        <v>20</v>
      </c>
      <c r="C11" s="36" t="s">
        <v>224</v>
      </c>
      <c r="D11" s="37">
        <v>42</v>
      </c>
      <c r="E11" s="38">
        <v>0.7</v>
      </c>
      <c r="F11" s="59">
        <v>42</v>
      </c>
      <c r="G11" s="60"/>
      <c r="H11" s="61">
        <v>0</v>
      </c>
      <c r="I11" s="47">
        <v>0</v>
      </c>
      <c r="J11" s="31">
        <f t="shared" si="9"/>
        <v>0</v>
      </c>
      <c r="K11" s="31">
        <f t="shared" si="10"/>
        <v>0</v>
      </c>
      <c r="L11" s="31">
        <f t="shared" si="11"/>
        <v>0</v>
      </c>
      <c r="M11" s="31">
        <f t="shared" si="12"/>
        <v>0</v>
      </c>
      <c r="N11" s="31">
        <f t="shared" si="0"/>
        <v>2</v>
      </c>
      <c r="O11" s="31">
        <f t="shared" si="1"/>
        <v>0</v>
      </c>
      <c r="P11" s="31">
        <f t="shared" si="14"/>
        <v>0</v>
      </c>
      <c r="Q11" s="31">
        <f t="shared" si="15"/>
        <v>2</v>
      </c>
      <c r="R11" s="31">
        <f t="shared" si="16"/>
        <v>0</v>
      </c>
      <c r="S11" s="33" t="s">
        <v>85</v>
      </c>
      <c r="T11" s="33"/>
      <c r="U11" s="42"/>
      <c r="V11" s="33"/>
      <c r="W11" s="62" t="s">
        <v>76</v>
      </c>
      <c r="X11" s="4"/>
      <c r="Y11" s="43" t="s">
        <v>86</v>
      </c>
      <c r="AA11" s="326"/>
      <c r="AB11" s="326">
        <f t="shared" si="3"/>
        <v>4002</v>
      </c>
      <c r="AC11" s="326">
        <v>4002</v>
      </c>
      <c r="AD11" s="326">
        <v>938</v>
      </c>
      <c r="AE11" s="326">
        <v>13</v>
      </c>
      <c r="AF11" s="326">
        <f t="shared" si="4"/>
        <v>951</v>
      </c>
      <c r="AG11" s="326">
        <v>2999</v>
      </c>
      <c r="AH11" s="326">
        <v>49</v>
      </c>
      <c r="AI11" s="326">
        <f t="shared" si="5"/>
        <v>3048</v>
      </c>
      <c r="AK11" s="326"/>
      <c r="AL11" s="326">
        <f t="shared" si="6"/>
        <v>11</v>
      </c>
      <c r="AM11" s="326">
        <v>11</v>
      </c>
      <c r="AN11" s="326">
        <v>2</v>
      </c>
      <c r="AO11" s="326">
        <v>0</v>
      </c>
      <c r="AP11" s="326">
        <f>AN11+AO11</f>
        <v>2</v>
      </c>
      <c r="AQ11" s="326">
        <v>8</v>
      </c>
      <c r="AR11" s="326">
        <v>1</v>
      </c>
      <c r="AS11" s="326">
        <f>AQ11+AR11</f>
        <v>9</v>
      </c>
      <c r="AU11" s="327">
        <f t="shared" si="13"/>
        <v>0.25400050800101603</v>
      </c>
      <c r="AV11" s="327">
        <f t="shared" si="7"/>
        <v>1.6129032258064515</v>
      </c>
      <c r="AW11" s="327">
        <f t="shared" si="8"/>
        <v>0.27506876719179796</v>
      </c>
      <c r="AY11" s="328" t="s">
        <v>74</v>
      </c>
      <c r="DZ11"/>
      <c r="EA11"/>
    </row>
    <row r="12" spans="1:131" ht="14.25" customHeight="1">
      <c r="A12" s="24">
        <v>8</v>
      </c>
      <c r="B12" s="165" t="s">
        <v>20</v>
      </c>
      <c r="C12" s="36" t="s">
        <v>44</v>
      </c>
      <c r="D12" s="50">
        <v>100</v>
      </c>
      <c r="E12" s="51">
        <v>2</v>
      </c>
      <c r="F12" s="52">
        <v>30</v>
      </c>
      <c r="G12" s="60"/>
      <c r="H12" s="61">
        <v>1</v>
      </c>
      <c r="I12" s="47">
        <v>1</v>
      </c>
      <c r="J12" s="31" t="str">
        <f t="shared" si="9"/>
        <v/>
      </c>
      <c r="K12" s="31" t="str">
        <f t="shared" si="10"/>
        <v/>
      </c>
      <c r="L12" s="31" t="str">
        <f t="shared" si="11"/>
        <v/>
      </c>
      <c r="M12" s="31" t="str">
        <f t="shared" si="12"/>
        <v/>
      </c>
      <c r="N12" s="31" t="str">
        <f t="shared" si="0"/>
        <v/>
      </c>
      <c r="O12" s="31" t="str">
        <f t="shared" si="1"/>
        <v/>
      </c>
      <c r="P12" s="31" t="str">
        <f t="shared" si="14"/>
        <v/>
      </c>
      <c r="Q12" s="31" t="str">
        <f t="shared" si="15"/>
        <v/>
      </c>
      <c r="R12" s="31" t="str">
        <f t="shared" si="16"/>
        <v/>
      </c>
      <c r="S12" s="33"/>
      <c r="T12" s="33"/>
      <c r="U12" s="42"/>
      <c r="V12" s="33"/>
      <c r="W12" s="42"/>
      <c r="X12" s="4"/>
      <c r="Y12" s="54" t="s">
        <v>87</v>
      </c>
      <c r="AA12" s="326"/>
      <c r="AB12" s="326"/>
      <c r="AC12" s="326"/>
      <c r="AD12" s="326"/>
      <c r="AE12" s="326"/>
      <c r="AF12" s="326" t="str">
        <f t="shared" si="4"/>
        <v/>
      </c>
      <c r="AG12" s="326"/>
      <c r="AH12" s="326"/>
      <c r="AI12" s="326" t="str">
        <f t="shared" si="5"/>
        <v/>
      </c>
      <c r="AK12" s="326"/>
      <c r="AL12" s="326"/>
      <c r="AM12" s="326"/>
      <c r="AN12" s="326"/>
      <c r="AO12" s="326"/>
      <c r="AP12" s="326"/>
      <c r="AQ12" s="326"/>
      <c r="AR12" s="326"/>
      <c r="AS12" s="326"/>
      <c r="AU12" s="327" t="str">
        <f t="shared" si="13"/>
        <v/>
      </c>
      <c r="AV12" s="327" t="str">
        <f t="shared" si="7"/>
        <v/>
      </c>
      <c r="AW12" s="327" t="str">
        <f t="shared" si="8"/>
        <v/>
      </c>
      <c r="AY12" s="328" t="s">
        <v>88</v>
      </c>
      <c r="DZ12"/>
      <c r="EA12"/>
    </row>
    <row r="13" spans="1:131" ht="14.25" customHeight="1">
      <c r="A13" s="24">
        <v>9</v>
      </c>
      <c r="B13" s="165" t="s">
        <v>20</v>
      </c>
      <c r="C13" s="36" t="s">
        <v>44</v>
      </c>
      <c r="D13" s="37">
        <v>120</v>
      </c>
      <c r="E13" s="63" t="s">
        <v>89</v>
      </c>
      <c r="F13" s="59">
        <v>29</v>
      </c>
      <c r="G13" s="60"/>
      <c r="H13" s="61">
        <v>0</v>
      </c>
      <c r="I13" s="47">
        <v>0</v>
      </c>
      <c r="J13" s="31">
        <f t="shared" si="9"/>
        <v>0</v>
      </c>
      <c r="K13" s="31">
        <f t="shared" si="10"/>
        <v>0</v>
      </c>
      <c r="L13" s="31">
        <f t="shared" si="11"/>
        <v>0</v>
      </c>
      <c r="M13" s="31">
        <f t="shared" si="12"/>
        <v>0</v>
      </c>
      <c r="N13" s="31">
        <f t="shared" si="0"/>
        <v>13</v>
      </c>
      <c r="O13" s="31">
        <f t="shared" si="1"/>
        <v>0</v>
      </c>
      <c r="P13" s="31">
        <f t="shared" si="14"/>
        <v>0</v>
      </c>
      <c r="Q13" s="31">
        <f t="shared" si="15"/>
        <v>7</v>
      </c>
      <c r="R13" s="31">
        <f t="shared" si="16"/>
        <v>0</v>
      </c>
      <c r="S13" s="78" t="s">
        <v>75</v>
      </c>
      <c r="T13" s="42" t="s">
        <v>75</v>
      </c>
      <c r="U13" s="42" t="s">
        <v>77</v>
      </c>
      <c r="V13" s="42" t="s">
        <v>75</v>
      </c>
      <c r="W13" s="42" t="s">
        <v>76</v>
      </c>
      <c r="X13" s="4"/>
      <c r="Y13" s="43" t="s">
        <v>90</v>
      </c>
      <c r="AA13" s="326"/>
      <c r="AB13" s="326">
        <f t="shared" si="3"/>
        <v>63957</v>
      </c>
      <c r="AC13" s="326">
        <v>63957</v>
      </c>
      <c r="AD13" s="326">
        <v>58152</v>
      </c>
      <c r="AE13" s="326">
        <v>31</v>
      </c>
      <c r="AF13" s="326">
        <f t="shared" si="4"/>
        <v>58183</v>
      </c>
      <c r="AG13" s="326">
        <v>5727</v>
      </c>
      <c r="AH13" s="326">
        <v>39</v>
      </c>
      <c r="AI13" s="326">
        <f t="shared" si="5"/>
        <v>5766</v>
      </c>
      <c r="AK13" s="326"/>
      <c r="AL13" s="326">
        <f>AM13-AK13</f>
        <v>39</v>
      </c>
      <c r="AM13" s="326">
        <v>39</v>
      </c>
      <c r="AN13" s="326">
        <v>17</v>
      </c>
      <c r="AO13" s="326">
        <v>0</v>
      </c>
      <c r="AP13" s="326">
        <f>AN13+AO13</f>
        <v>17</v>
      </c>
      <c r="AQ13" s="326">
        <v>17</v>
      </c>
      <c r="AR13" s="326">
        <v>5</v>
      </c>
      <c r="AS13" s="326">
        <f>AQ13+AR13</f>
        <v>22</v>
      </c>
      <c r="AU13" s="327">
        <f t="shared" si="13"/>
        <v>5.3225629706163215E-2</v>
      </c>
      <c r="AV13" s="327">
        <f t="shared" si="7"/>
        <v>7.1428571428571423</v>
      </c>
      <c r="AW13" s="327">
        <f t="shared" si="8"/>
        <v>6.0986098297080488E-2</v>
      </c>
      <c r="AY13" s="328" t="s">
        <v>74</v>
      </c>
      <c r="DZ13"/>
      <c r="EA13"/>
    </row>
    <row r="14" spans="1:131">
      <c r="A14" s="24">
        <v>10</v>
      </c>
      <c r="B14" s="165" t="s">
        <v>20</v>
      </c>
      <c r="C14" s="36" t="s">
        <v>44</v>
      </c>
      <c r="D14" s="50" t="s">
        <v>91</v>
      </c>
      <c r="E14" s="51"/>
      <c r="F14" s="52">
        <v>26.5</v>
      </c>
      <c r="G14" s="60"/>
      <c r="H14" s="47">
        <v>2</v>
      </c>
      <c r="I14" s="47">
        <v>2</v>
      </c>
      <c r="J14" s="31" t="str">
        <f t="shared" si="9"/>
        <v/>
      </c>
      <c r="K14" s="31" t="str">
        <f t="shared" si="10"/>
        <v/>
      </c>
      <c r="L14" s="31" t="str">
        <f t="shared" si="11"/>
        <v/>
      </c>
      <c r="M14" s="31" t="str">
        <f t="shared" si="12"/>
        <v/>
      </c>
      <c r="N14" s="31" t="str">
        <f t="shared" si="0"/>
        <v/>
      </c>
      <c r="O14" s="31" t="str">
        <f t="shared" si="1"/>
        <v/>
      </c>
      <c r="P14" s="31" t="str">
        <f t="shared" si="14"/>
        <v/>
      </c>
      <c r="Q14" s="31" t="str">
        <f t="shared" si="15"/>
        <v/>
      </c>
      <c r="R14" s="31" t="str">
        <f t="shared" si="16"/>
        <v/>
      </c>
      <c r="S14" s="33"/>
      <c r="T14" s="33"/>
      <c r="U14" s="42"/>
      <c r="V14" s="33"/>
      <c r="W14" s="42"/>
      <c r="X14" s="4"/>
      <c r="Y14" s="54" t="s">
        <v>92</v>
      </c>
      <c r="AA14" s="326"/>
      <c r="AB14" s="326"/>
      <c r="AC14" s="326"/>
      <c r="AD14" s="326"/>
      <c r="AE14" s="326"/>
      <c r="AF14" s="326" t="str">
        <f t="shared" si="4"/>
        <v/>
      </c>
      <c r="AG14" s="326"/>
      <c r="AH14" s="326"/>
      <c r="AI14" s="326" t="str">
        <f t="shared" si="5"/>
        <v/>
      </c>
      <c r="AK14" s="326"/>
      <c r="AL14" s="326"/>
      <c r="AM14" s="326"/>
      <c r="AN14" s="326"/>
      <c r="AO14" s="326"/>
      <c r="AP14" s="326"/>
      <c r="AQ14" s="326"/>
      <c r="AR14" s="326"/>
      <c r="AS14" s="326"/>
      <c r="AU14" s="327" t="str">
        <f t="shared" si="13"/>
        <v/>
      </c>
      <c r="AV14" s="327" t="str">
        <f t="shared" si="7"/>
        <v/>
      </c>
      <c r="AW14" s="327" t="str">
        <f t="shared" si="8"/>
        <v/>
      </c>
      <c r="AY14" s="328" t="s">
        <v>93</v>
      </c>
      <c r="DZ14"/>
      <c r="EA14"/>
    </row>
    <row r="15" spans="1:131">
      <c r="A15" s="24">
        <v>11</v>
      </c>
      <c r="B15" s="165" t="s">
        <v>20</v>
      </c>
      <c r="C15" s="36" t="s">
        <v>44</v>
      </c>
      <c r="D15" s="50" t="s">
        <v>91</v>
      </c>
      <c r="E15" s="51"/>
      <c r="F15" s="52">
        <v>26.5</v>
      </c>
      <c r="G15" s="60"/>
      <c r="H15" s="47">
        <v>4</v>
      </c>
      <c r="I15" s="47">
        <v>4</v>
      </c>
      <c r="J15" s="31" t="str">
        <f t="shared" si="9"/>
        <v/>
      </c>
      <c r="K15" s="31" t="str">
        <f t="shared" si="10"/>
        <v/>
      </c>
      <c r="L15" s="31" t="str">
        <f t="shared" si="11"/>
        <v/>
      </c>
      <c r="M15" s="31" t="str">
        <f t="shared" si="12"/>
        <v/>
      </c>
      <c r="N15" s="31" t="str">
        <f t="shared" si="0"/>
        <v/>
      </c>
      <c r="O15" s="31" t="str">
        <f t="shared" si="1"/>
        <v/>
      </c>
      <c r="P15" s="31" t="str">
        <f t="shared" si="14"/>
        <v/>
      </c>
      <c r="Q15" s="31" t="str">
        <f t="shared" si="15"/>
        <v/>
      </c>
      <c r="R15" s="31" t="str">
        <f t="shared" si="16"/>
        <v/>
      </c>
      <c r="S15" s="33"/>
      <c r="T15" s="33"/>
      <c r="U15" s="42"/>
      <c r="V15" s="33"/>
      <c r="W15" s="42"/>
      <c r="X15" s="4"/>
      <c r="Y15" s="54" t="s">
        <v>92</v>
      </c>
      <c r="AA15" s="326"/>
      <c r="AB15" s="326"/>
      <c r="AC15" s="326"/>
      <c r="AD15" s="326"/>
      <c r="AE15" s="326"/>
      <c r="AF15" s="326" t="str">
        <f t="shared" si="4"/>
        <v/>
      </c>
      <c r="AG15" s="326"/>
      <c r="AH15" s="326"/>
      <c r="AI15" s="326" t="str">
        <f t="shared" si="5"/>
        <v/>
      </c>
      <c r="AK15" s="326"/>
      <c r="AL15" s="326"/>
      <c r="AM15" s="326"/>
      <c r="AN15" s="326"/>
      <c r="AO15" s="326"/>
      <c r="AP15" s="326"/>
      <c r="AQ15" s="326"/>
      <c r="AR15" s="326"/>
      <c r="AS15" s="326"/>
      <c r="AU15" s="327" t="str">
        <f t="shared" si="13"/>
        <v/>
      </c>
      <c r="AV15" s="327" t="str">
        <f t="shared" si="7"/>
        <v/>
      </c>
      <c r="AW15" s="327" t="str">
        <f t="shared" si="8"/>
        <v/>
      </c>
      <c r="AY15" s="328" t="s">
        <v>93</v>
      </c>
      <c r="DZ15"/>
      <c r="EA15"/>
    </row>
    <row r="16" spans="1:131" ht="14.25" customHeight="1">
      <c r="A16" s="24">
        <v>12</v>
      </c>
      <c r="B16" s="165" t="s">
        <v>20</v>
      </c>
      <c r="C16" s="36" t="s">
        <v>314</v>
      </c>
      <c r="D16" s="37">
        <v>500</v>
      </c>
      <c r="E16" s="38">
        <v>2.2000000000000002</v>
      </c>
      <c r="F16" s="59">
        <v>17</v>
      </c>
      <c r="G16" s="61">
        <v>2</v>
      </c>
      <c r="H16" s="61">
        <v>0</v>
      </c>
      <c r="I16" s="47">
        <v>0</v>
      </c>
      <c r="J16" s="31">
        <f t="shared" si="9"/>
        <v>0</v>
      </c>
      <c r="K16" s="31">
        <f t="shared" si="10"/>
        <v>0</v>
      </c>
      <c r="L16" s="31">
        <f t="shared" si="11"/>
        <v>0</v>
      </c>
      <c r="M16" s="31">
        <f t="shared" si="12"/>
        <v>0</v>
      </c>
      <c r="N16" s="31">
        <f t="shared" si="0"/>
        <v>1</v>
      </c>
      <c r="O16" s="31">
        <f t="shared" si="1"/>
        <v>0</v>
      </c>
      <c r="P16" s="31">
        <f t="shared" si="14"/>
        <v>0</v>
      </c>
      <c r="Q16" s="31">
        <f t="shared" si="15"/>
        <v>1</v>
      </c>
      <c r="R16" s="31">
        <f t="shared" si="16"/>
        <v>0</v>
      </c>
      <c r="S16" s="33" t="s">
        <v>77</v>
      </c>
      <c r="T16" s="33"/>
      <c r="U16" s="42"/>
      <c r="V16" s="33"/>
      <c r="W16" s="42" t="s">
        <v>94</v>
      </c>
      <c r="X16" s="4"/>
      <c r="Y16" s="43" t="s">
        <v>95</v>
      </c>
      <c r="AA16" s="326">
        <v>43</v>
      </c>
      <c r="AB16" s="326">
        <f>AC16-AA16</f>
        <v>82260</v>
      </c>
      <c r="AC16" s="326">
        <v>82303</v>
      </c>
      <c r="AD16" s="326">
        <v>10534</v>
      </c>
      <c r="AE16" s="326">
        <v>31</v>
      </c>
      <c r="AF16" s="326">
        <f t="shared" si="4"/>
        <v>10565</v>
      </c>
      <c r="AG16" s="326">
        <v>70960</v>
      </c>
      <c r="AH16" s="326">
        <v>731</v>
      </c>
      <c r="AI16" s="326">
        <f t="shared" si="5"/>
        <v>71691</v>
      </c>
      <c r="AK16" s="326">
        <v>1</v>
      </c>
      <c r="AL16" s="326">
        <f>AM16-AK16</f>
        <v>76</v>
      </c>
      <c r="AM16" s="326">
        <v>77</v>
      </c>
      <c r="AN16" s="326">
        <v>12</v>
      </c>
      <c r="AO16" s="326">
        <v>0</v>
      </c>
      <c r="AP16" s="326">
        <f>AN16+AO16</f>
        <v>12</v>
      </c>
      <c r="AQ16" s="326">
        <v>59</v>
      </c>
      <c r="AR16" s="326">
        <v>5</v>
      </c>
      <c r="AS16" s="326">
        <f>AQ16+AR16</f>
        <v>64</v>
      </c>
      <c r="AU16" s="327">
        <f t="shared" si="13"/>
        <v>8.7122978378776347E-2</v>
      </c>
      <c r="AV16" s="327">
        <f t="shared" si="7"/>
        <v>0.65616797900262469</v>
      </c>
      <c r="AW16" s="327">
        <f t="shared" si="8"/>
        <v>9.239447578292162E-2</v>
      </c>
      <c r="AY16" s="328" t="s">
        <v>74</v>
      </c>
      <c r="DZ16"/>
      <c r="EA16"/>
    </row>
    <row r="17" spans="1:131" ht="14.25" customHeight="1">
      <c r="A17" s="24">
        <v>13</v>
      </c>
      <c r="B17" s="165" t="s">
        <v>20</v>
      </c>
      <c r="C17" s="36" t="s">
        <v>223</v>
      </c>
      <c r="D17" s="50">
        <v>660</v>
      </c>
      <c r="E17" s="51">
        <v>0.3</v>
      </c>
      <c r="F17" s="52">
        <v>22</v>
      </c>
      <c r="G17" s="61">
        <v>0</v>
      </c>
      <c r="H17" s="64">
        <v>1</v>
      </c>
      <c r="I17" s="64">
        <v>1</v>
      </c>
      <c r="J17" s="31" t="str">
        <f t="shared" si="9"/>
        <v/>
      </c>
      <c r="K17" s="31" t="str">
        <f t="shared" si="10"/>
        <v/>
      </c>
      <c r="L17" s="31">
        <f t="shared" si="11"/>
        <v>14</v>
      </c>
      <c r="M17" s="31" t="str">
        <f t="shared" si="12"/>
        <v/>
      </c>
      <c r="N17" s="31" t="str">
        <f t="shared" si="0"/>
        <v/>
      </c>
      <c r="O17" s="31">
        <f t="shared" si="1"/>
        <v>0</v>
      </c>
      <c r="P17" s="31" t="str">
        <f t="shared" si="14"/>
        <v/>
      </c>
      <c r="Q17" s="31" t="str">
        <f t="shared" si="15"/>
        <v/>
      </c>
      <c r="R17" s="31">
        <f t="shared" si="16"/>
        <v>1</v>
      </c>
      <c r="S17" s="33"/>
      <c r="T17" s="33"/>
      <c r="U17" s="42"/>
      <c r="V17" s="33"/>
      <c r="W17" s="42"/>
      <c r="X17" s="4"/>
      <c r="Y17" s="54" t="s">
        <v>96</v>
      </c>
      <c r="AA17" s="326">
        <v>24</v>
      </c>
      <c r="AB17" s="326">
        <f t="shared" ref="AB17:AB80" si="17">AC17-AA17</f>
        <v>164</v>
      </c>
      <c r="AC17" s="326">
        <v>188</v>
      </c>
      <c r="AD17" s="326"/>
      <c r="AE17" s="326"/>
      <c r="AF17" s="326">
        <f>4+3</f>
        <v>7</v>
      </c>
      <c r="AG17" s="326"/>
      <c r="AH17" s="326"/>
      <c r="AI17" s="326">
        <f>2+6+145+4</f>
        <v>157</v>
      </c>
      <c r="AK17" s="326">
        <v>0</v>
      </c>
      <c r="AL17" s="326">
        <f t="shared" ref="AL17:AL76" si="18">AM17-AK17</f>
        <v>1</v>
      </c>
      <c r="AM17" s="326">
        <v>1</v>
      </c>
      <c r="AN17" s="326"/>
      <c r="AO17" s="326"/>
      <c r="AP17" s="326">
        <v>1</v>
      </c>
      <c r="AQ17" s="326"/>
      <c r="AR17" s="326"/>
      <c r="AS17" s="326">
        <v>0</v>
      </c>
      <c r="AU17" s="327" t="str">
        <f t="shared" si="13"/>
        <v/>
      </c>
      <c r="AV17" s="327" t="str">
        <f t="shared" si="7"/>
        <v/>
      </c>
      <c r="AW17" s="327">
        <f t="shared" si="8"/>
        <v>0.6097560975609756</v>
      </c>
      <c r="AY17" s="328" t="s">
        <v>97</v>
      </c>
      <c r="DZ17"/>
      <c r="EA17"/>
    </row>
    <row r="18" spans="1:131" ht="14.25" customHeight="1">
      <c r="A18" s="24">
        <v>14</v>
      </c>
      <c r="B18" s="165" t="s">
        <v>20</v>
      </c>
      <c r="C18" s="65" t="s">
        <v>223</v>
      </c>
      <c r="D18" s="66">
        <v>660</v>
      </c>
      <c r="E18" s="67">
        <v>0.3</v>
      </c>
      <c r="F18" s="68">
        <v>22</v>
      </c>
      <c r="G18" s="60"/>
      <c r="H18" s="47">
        <v>0</v>
      </c>
      <c r="I18" s="47">
        <v>0</v>
      </c>
      <c r="J18" s="31" t="str">
        <f t="shared" si="9"/>
        <v/>
      </c>
      <c r="K18" s="31" t="str">
        <f t="shared" si="10"/>
        <v/>
      </c>
      <c r="L18" s="31" t="str">
        <f t="shared" si="11"/>
        <v/>
      </c>
      <c r="M18" s="31" t="str">
        <f t="shared" si="12"/>
        <v/>
      </c>
      <c r="N18" s="31" t="str">
        <f t="shared" si="0"/>
        <v/>
      </c>
      <c r="O18" s="31">
        <f t="shared" si="1"/>
        <v>0</v>
      </c>
      <c r="P18" s="31" t="str">
        <f t="shared" si="14"/>
        <v/>
      </c>
      <c r="Q18" s="31" t="str">
        <f t="shared" si="15"/>
        <v/>
      </c>
      <c r="R18" s="31">
        <f t="shared" si="16"/>
        <v>0</v>
      </c>
      <c r="S18" s="78"/>
      <c r="T18" s="60"/>
      <c r="U18" s="62"/>
      <c r="V18" s="48"/>
      <c r="W18" s="62"/>
      <c r="X18" s="4"/>
      <c r="Y18" s="69" t="s">
        <v>98</v>
      </c>
      <c r="AA18" s="326"/>
      <c r="AB18" s="326">
        <f t="shared" si="17"/>
        <v>67</v>
      </c>
      <c r="AC18" s="326">
        <v>67</v>
      </c>
      <c r="AD18" s="326"/>
      <c r="AE18" s="326"/>
      <c r="AF18" s="326"/>
      <c r="AG18" s="326"/>
      <c r="AH18" s="326"/>
      <c r="AI18" s="326">
        <v>64</v>
      </c>
      <c r="AK18" s="326"/>
      <c r="AL18" s="326">
        <f t="shared" si="18"/>
        <v>0</v>
      </c>
      <c r="AM18" s="326">
        <v>0</v>
      </c>
      <c r="AN18" s="326"/>
      <c r="AO18" s="326"/>
      <c r="AP18" s="326"/>
      <c r="AQ18" s="326"/>
      <c r="AR18" s="326"/>
      <c r="AS18" s="326">
        <v>0</v>
      </c>
      <c r="AU18" s="327" t="str">
        <f t="shared" si="13"/>
        <v/>
      </c>
      <c r="AV18" s="327" t="str">
        <f t="shared" si="7"/>
        <v/>
      </c>
      <c r="AW18" s="327">
        <f t="shared" si="8"/>
        <v>0</v>
      </c>
      <c r="AY18" s="328" t="s">
        <v>97</v>
      </c>
      <c r="DZ18"/>
      <c r="EA18"/>
    </row>
    <row r="19" spans="1:131" ht="14.25" customHeight="1">
      <c r="A19" s="24">
        <v>15</v>
      </c>
      <c r="B19" s="165" t="s">
        <v>20</v>
      </c>
      <c r="C19" s="36" t="s">
        <v>44</v>
      </c>
      <c r="D19" s="66">
        <v>660</v>
      </c>
      <c r="E19" s="67">
        <v>0.3</v>
      </c>
      <c r="F19" s="68">
        <v>22</v>
      </c>
      <c r="G19" s="60"/>
      <c r="H19" s="61">
        <v>1</v>
      </c>
      <c r="I19" s="47">
        <v>1</v>
      </c>
      <c r="J19" s="31" t="str">
        <f t="shared" si="9"/>
        <v/>
      </c>
      <c r="K19" s="31" t="str">
        <f t="shared" si="10"/>
        <v/>
      </c>
      <c r="L19" s="31">
        <f t="shared" si="11"/>
        <v>0</v>
      </c>
      <c r="M19" s="31" t="str">
        <f t="shared" si="12"/>
        <v/>
      </c>
      <c r="N19" s="31" t="str">
        <f t="shared" si="0"/>
        <v/>
      </c>
      <c r="O19" s="31">
        <f t="shared" si="1"/>
        <v>0</v>
      </c>
      <c r="P19" s="31" t="str">
        <f t="shared" si="14"/>
        <v/>
      </c>
      <c r="Q19" s="31" t="str">
        <f t="shared" si="15"/>
        <v/>
      </c>
      <c r="R19" s="31">
        <f t="shared" si="16"/>
        <v>0</v>
      </c>
      <c r="S19" s="78"/>
      <c r="T19" s="60"/>
      <c r="U19" s="62"/>
      <c r="V19" s="48"/>
      <c r="W19" s="62"/>
      <c r="X19" s="4"/>
      <c r="Y19" s="54" t="s">
        <v>96</v>
      </c>
      <c r="AA19" s="326">
        <v>5</v>
      </c>
      <c r="AB19" s="326">
        <f t="shared" si="17"/>
        <v>145</v>
      </c>
      <c r="AC19" s="326">
        <v>150</v>
      </c>
      <c r="AD19" s="326"/>
      <c r="AE19" s="326"/>
      <c r="AF19" s="326">
        <f>14+1+4</f>
        <v>19</v>
      </c>
      <c r="AG19" s="326"/>
      <c r="AH19" s="326"/>
      <c r="AI19" s="326">
        <f>8+116+1</f>
        <v>125</v>
      </c>
      <c r="AK19" s="326">
        <v>0</v>
      </c>
      <c r="AL19" s="326">
        <f t="shared" si="18"/>
        <v>1</v>
      </c>
      <c r="AM19" s="326">
        <v>1</v>
      </c>
      <c r="AN19" s="326"/>
      <c r="AO19" s="326"/>
      <c r="AP19" s="326">
        <v>0</v>
      </c>
      <c r="AQ19" s="326"/>
      <c r="AR19" s="326"/>
      <c r="AS19" s="326">
        <v>0</v>
      </c>
      <c r="AU19" s="327" t="str">
        <f t="shared" si="13"/>
        <v/>
      </c>
      <c r="AV19" s="327" t="str">
        <f t="shared" si="7"/>
        <v/>
      </c>
      <c r="AW19" s="327">
        <f t="shared" si="8"/>
        <v>0</v>
      </c>
      <c r="AY19" s="328" t="s">
        <v>97</v>
      </c>
      <c r="DZ19"/>
      <c r="EA19"/>
    </row>
    <row r="20" spans="1:131" ht="14.25" customHeight="1" thickBot="1">
      <c r="A20" s="24">
        <v>16</v>
      </c>
      <c r="B20" s="165" t="s">
        <v>20</v>
      </c>
      <c r="C20" s="36" t="s">
        <v>44</v>
      </c>
      <c r="D20" s="66">
        <v>660</v>
      </c>
      <c r="E20" s="67">
        <v>0.3</v>
      </c>
      <c r="F20" s="71">
        <v>22</v>
      </c>
      <c r="G20" s="60"/>
      <c r="H20" s="61">
        <v>1</v>
      </c>
      <c r="I20" s="47">
        <v>1</v>
      </c>
      <c r="J20" s="31" t="str">
        <f t="shared" si="9"/>
        <v/>
      </c>
      <c r="K20" s="31" t="str">
        <f t="shared" si="10"/>
        <v/>
      </c>
      <c r="L20" s="31" t="str">
        <f t="shared" si="11"/>
        <v/>
      </c>
      <c r="M20" s="31" t="str">
        <f t="shared" si="12"/>
        <v/>
      </c>
      <c r="N20" s="31" t="str">
        <f t="shared" si="0"/>
        <v/>
      </c>
      <c r="O20" s="31">
        <f t="shared" si="1"/>
        <v>1</v>
      </c>
      <c r="P20" s="31" t="str">
        <f t="shared" si="14"/>
        <v/>
      </c>
      <c r="Q20" s="31" t="str">
        <f t="shared" si="15"/>
        <v/>
      </c>
      <c r="R20" s="31">
        <f t="shared" si="16"/>
        <v>1</v>
      </c>
      <c r="S20" s="318"/>
      <c r="T20" s="60"/>
      <c r="U20" s="72"/>
      <c r="V20" s="48"/>
      <c r="W20" s="72"/>
      <c r="X20" s="4"/>
      <c r="Y20" s="69" t="s">
        <v>98</v>
      </c>
      <c r="AA20" s="326"/>
      <c r="AB20" s="326">
        <f t="shared" si="17"/>
        <v>91</v>
      </c>
      <c r="AC20" s="326">
        <v>91</v>
      </c>
      <c r="AD20" s="326"/>
      <c r="AE20" s="326"/>
      <c r="AF20" s="326"/>
      <c r="AG20" s="326"/>
      <c r="AH20" s="326"/>
      <c r="AI20" s="326">
        <v>87</v>
      </c>
      <c r="AK20" s="326"/>
      <c r="AL20" s="326">
        <f t="shared" si="18"/>
        <v>1</v>
      </c>
      <c r="AM20" s="326">
        <v>1</v>
      </c>
      <c r="AN20" s="326"/>
      <c r="AO20" s="326"/>
      <c r="AP20" s="326">
        <v>0</v>
      </c>
      <c r="AQ20" s="326"/>
      <c r="AR20" s="326"/>
      <c r="AS20" s="326">
        <v>1</v>
      </c>
      <c r="AU20" s="327" t="str">
        <f t="shared" si="13"/>
        <v/>
      </c>
      <c r="AV20" s="327" t="str">
        <f t="shared" si="7"/>
        <v/>
      </c>
      <c r="AW20" s="327">
        <f t="shared" si="8"/>
        <v>1.1494252873563218</v>
      </c>
      <c r="AY20" s="328" t="s">
        <v>97</v>
      </c>
      <c r="DZ20"/>
      <c r="EA20"/>
    </row>
    <row r="21" spans="1:131" ht="14.25" customHeight="1">
      <c r="A21" s="24">
        <v>17</v>
      </c>
      <c r="B21" s="165" t="s">
        <v>225</v>
      </c>
      <c r="C21" s="44" t="s">
        <v>99</v>
      </c>
      <c r="D21" s="73" t="s">
        <v>100</v>
      </c>
      <c r="E21" s="74"/>
      <c r="F21" s="75"/>
      <c r="G21" s="40"/>
      <c r="H21" s="29">
        <v>0</v>
      </c>
      <c r="I21" s="30">
        <v>0</v>
      </c>
      <c r="J21" s="31" t="str">
        <f t="shared" si="9"/>
        <v/>
      </c>
      <c r="K21" s="31" t="str">
        <f t="shared" si="10"/>
        <v/>
      </c>
      <c r="L21" s="31" t="str">
        <f t="shared" si="11"/>
        <v/>
      </c>
      <c r="M21" s="31" t="str">
        <f t="shared" si="12"/>
        <v/>
      </c>
      <c r="N21" s="31" t="str">
        <f t="shared" si="0"/>
        <v/>
      </c>
      <c r="O21" s="31">
        <f t="shared" si="1"/>
        <v>0</v>
      </c>
      <c r="P21" s="31" t="str">
        <f t="shared" si="14"/>
        <v/>
      </c>
      <c r="Q21" s="31" t="str">
        <f t="shared" si="15"/>
        <v/>
      </c>
      <c r="R21" s="31">
        <f t="shared" si="16"/>
        <v>0</v>
      </c>
      <c r="S21" s="133"/>
      <c r="T21" s="33"/>
      <c r="U21" s="33"/>
      <c r="V21" s="33"/>
      <c r="W21" s="33"/>
      <c r="X21" s="4"/>
      <c r="Y21" s="76" t="s">
        <v>101</v>
      </c>
      <c r="AA21" s="326"/>
      <c r="AB21" s="326">
        <f t="shared" si="17"/>
        <v>289</v>
      </c>
      <c r="AC21" s="326">
        <v>289</v>
      </c>
      <c r="AD21" s="326"/>
      <c r="AE21" s="326"/>
      <c r="AF21" s="326"/>
      <c r="AG21" s="326"/>
      <c r="AH21" s="326"/>
      <c r="AI21" s="326">
        <f>5+239+9+2+11+1+2+2+2+7</f>
        <v>280</v>
      </c>
      <c r="AK21" s="326"/>
      <c r="AL21" s="326">
        <f t="shared" si="18"/>
        <v>0</v>
      </c>
      <c r="AM21" s="326">
        <v>0</v>
      </c>
      <c r="AN21" s="326"/>
      <c r="AO21" s="326"/>
      <c r="AP21" s="326"/>
      <c r="AQ21" s="326"/>
      <c r="AR21" s="326"/>
      <c r="AS21" s="326">
        <v>0</v>
      </c>
      <c r="AU21" s="327" t="str">
        <f t="shared" si="13"/>
        <v/>
      </c>
      <c r="AV21" s="327" t="str">
        <f t="shared" si="7"/>
        <v/>
      </c>
      <c r="AW21" s="327">
        <f t="shared" si="8"/>
        <v>0</v>
      </c>
      <c r="AY21" s="328" t="s">
        <v>102</v>
      </c>
      <c r="DZ21"/>
      <c r="EA21"/>
    </row>
    <row r="22" spans="1:131" ht="14.25" customHeight="1">
      <c r="A22" s="24">
        <v>18</v>
      </c>
      <c r="B22" s="165" t="s">
        <v>225</v>
      </c>
      <c r="C22" s="36" t="s">
        <v>99</v>
      </c>
      <c r="D22" s="50" t="s">
        <v>100</v>
      </c>
      <c r="E22" s="51"/>
      <c r="F22" s="52" t="s">
        <v>103</v>
      </c>
      <c r="G22" s="60"/>
      <c r="H22" s="61">
        <v>0</v>
      </c>
      <c r="I22" s="47">
        <v>0</v>
      </c>
      <c r="J22" s="31" t="str">
        <f t="shared" si="9"/>
        <v/>
      </c>
      <c r="K22" s="31" t="str">
        <f t="shared" si="10"/>
        <v/>
      </c>
      <c r="L22" s="31" t="str">
        <f t="shared" si="11"/>
        <v/>
      </c>
      <c r="M22" s="31" t="str">
        <f t="shared" si="12"/>
        <v/>
      </c>
      <c r="N22" s="31" t="str">
        <f t="shared" si="0"/>
        <v/>
      </c>
      <c r="O22" s="31" t="str">
        <f t="shared" si="1"/>
        <v/>
      </c>
      <c r="P22" s="31" t="str">
        <f t="shared" si="14"/>
        <v/>
      </c>
      <c r="Q22" s="31" t="str">
        <f t="shared" si="15"/>
        <v/>
      </c>
      <c r="R22" s="31" t="str">
        <f t="shared" si="16"/>
        <v/>
      </c>
      <c r="S22" s="78"/>
      <c r="T22" s="78"/>
      <c r="U22" s="78"/>
      <c r="V22" s="78"/>
      <c r="W22" s="78"/>
      <c r="X22" s="4"/>
      <c r="Y22" s="54" t="s">
        <v>104</v>
      </c>
      <c r="AA22" s="326"/>
      <c r="AB22" s="326"/>
      <c r="AC22" s="326"/>
      <c r="AD22" s="326"/>
      <c r="AE22" s="326"/>
      <c r="AF22" s="326"/>
      <c r="AG22" s="326"/>
      <c r="AH22" s="326"/>
      <c r="AI22" s="326"/>
      <c r="AK22" s="326"/>
      <c r="AL22" s="326"/>
      <c r="AM22" s="326"/>
      <c r="AN22" s="326"/>
      <c r="AO22" s="326"/>
      <c r="AP22" s="326"/>
      <c r="AQ22" s="326"/>
      <c r="AR22" s="326"/>
      <c r="AS22" s="326"/>
      <c r="AU22" s="327" t="str">
        <f t="shared" si="13"/>
        <v/>
      </c>
      <c r="AV22" s="327" t="str">
        <f t="shared" si="7"/>
        <v/>
      </c>
      <c r="AW22" s="327" t="str">
        <f t="shared" si="8"/>
        <v/>
      </c>
      <c r="AY22" s="329" t="s">
        <v>105</v>
      </c>
      <c r="DZ22"/>
      <c r="EA22"/>
    </row>
    <row r="23" spans="1:131" ht="14.25" customHeight="1" thickBot="1">
      <c r="A23" s="24">
        <v>19</v>
      </c>
      <c r="B23" s="165" t="s">
        <v>225</v>
      </c>
      <c r="C23" s="65" t="s">
        <v>99</v>
      </c>
      <c r="D23" s="66" t="s">
        <v>100</v>
      </c>
      <c r="E23" s="67"/>
      <c r="F23" s="68"/>
      <c r="G23" s="79"/>
      <c r="H23" s="79">
        <v>4</v>
      </c>
      <c r="I23" s="80"/>
      <c r="J23" s="31" t="str">
        <f t="shared" si="9"/>
        <v/>
      </c>
      <c r="K23" s="31" t="str">
        <f t="shared" si="10"/>
        <v/>
      </c>
      <c r="L23" s="31" t="str">
        <f t="shared" si="11"/>
        <v/>
      </c>
      <c r="M23" s="31" t="str">
        <f t="shared" si="12"/>
        <v/>
      </c>
      <c r="N23" s="31" t="str">
        <f t="shared" si="0"/>
        <v/>
      </c>
      <c r="O23" s="31" t="str">
        <f t="shared" si="1"/>
        <v/>
      </c>
      <c r="P23" s="31" t="str">
        <f t="shared" si="14"/>
        <v/>
      </c>
      <c r="Q23" s="31" t="str">
        <f t="shared" si="15"/>
        <v/>
      </c>
      <c r="R23" s="31" t="str">
        <f t="shared" si="16"/>
        <v/>
      </c>
      <c r="S23" s="318"/>
      <c r="T23" s="81"/>
      <c r="U23" s="81"/>
      <c r="V23" s="81"/>
      <c r="W23" s="81"/>
      <c r="X23" s="4"/>
      <c r="Y23" s="69" t="s">
        <v>106</v>
      </c>
      <c r="AA23" s="326"/>
      <c r="AB23" s="326"/>
      <c r="AC23" s="326"/>
      <c r="AD23" s="326"/>
      <c r="AE23" s="326"/>
      <c r="AF23" s="326"/>
      <c r="AG23" s="326"/>
      <c r="AH23" s="326"/>
      <c r="AI23" s="326"/>
      <c r="AK23" s="326"/>
      <c r="AL23" s="326"/>
      <c r="AM23" s="326"/>
      <c r="AN23" s="326"/>
      <c r="AO23" s="326"/>
      <c r="AP23" s="326"/>
      <c r="AQ23" s="326"/>
      <c r="AR23" s="326"/>
      <c r="AS23" s="326"/>
      <c r="AU23" s="327" t="str">
        <f t="shared" si="13"/>
        <v/>
      </c>
      <c r="AV23" s="327" t="str">
        <f t="shared" si="7"/>
        <v/>
      </c>
      <c r="AW23" s="327" t="str">
        <f t="shared" si="8"/>
        <v/>
      </c>
      <c r="AY23" s="328" t="s">
        <v>107</v>
      </c>
      <c r="DZ23"/>
      <c r="EA23"/>
    </row>
    <row r="24" spans="1:131" s="4" customFormat="1" ht="15.75" customHeight="1">
      <c r="A24" s="24">
        <v>20</v>
      </c>
      <c r="B24" s="166" t="s">
        <v>226</v>
      </c>
      <c r="C24" s="57" t="s">
        <v>108</v>
      </c>
      <c r="D24" s="26">
        <v>28</v>
      </c>
      <c r="E24" s="27" t="s">
        <v>109</v>
      </c>
      <c r="F24" s="82">
        <v>320</v>
      </c>
      <c r="G24" s="40"/>
      <c r="H24" s="29">
        <v>21</v>
      </c>
      <c r="I24" s="30">
        <v>21</v>
      </c>
      <c r="J24" s="31">
        <f t="shared" si="9"/>
        <v>4</v>
      </c>
      <c r="K24" s="31" t="str">
        <f t="shared" si="10"/>
        <v/>
      </c>
      <c r="L24" s="31">
        <f t="shared" si="11"/>
        <v>4</v>
      </c>
      <c r="M24" s="357">
        <f t="shared" si="12"/>
        <v>38</v>
      </c>
      <c r="N24" s="31" t="str">
        <f t="shared" si="0"/>
        <v/>
      </c>
      <c r="O24" s="357">
        <f t="shared" si="1"/>
        <v>38</v>
      </c>
      <c r="P24" s="31">
        <f t="shared" si="14"/>
        <v>22</v>
      </c>
      <c r="Q24" s="31" t="str">
        <f t="shared" si="15"/>
        <v/>
      </c>
      <c r="R24" s="31">
        <f t="shared" si="16"/>
        <v>22</v>
      </c>
      <c r="S24" s="78" t="s">
        <v>75</v>
      </c>
      <c r="T24" s="83"/>
      <c r="U24" s="83"/>
      <c r="V24" s="83"/>
      <c r="W24" s="83"/>
      <c r="Y24" s="84" t="s">
        <v>110</v>
      </c>
      <c r="AA24" s="326">
        <v>1</v>
      </c>
      <c r="AB24" s="326">
        <f t="shared" si="17"/>
        <v>56</v>
      </c>
      <c r="AC24" s="326">
        <v>57</v>
      </c>
      <c r="AD24" s="326">
        <f>19+7</f>
        <v>26</v>
      </c>
      <c r="AE24" s="326"/>
      <c r="AF24" s="326">
        <f>IF((AD24+AE24&gt;0),AD24+AE24,"")</f>
        <v>26</v>
      </c>
      <c r="AG24" s="326">
        <f>1+13+1+6+1+7</f>
        <v>29</v>
      </c>
      <c r="AH24" s="326"/>
      <c r="AI24" s="326">
        <f>IF((AG24+AH24&gt;0),AG24+AH24,"")</f>
        <v>29</v>
      </c>
      <c r="AK24" s="326">
        <v>0</v>
      </c>
      <c r="AL24" s="326">
        <f t="shared" si="18"/>
        <v>12</v>
      </c>
      <c r="AM24" s="326">
        <v>12</v>
      </c>
      <c r="AN24" s="326">
        <v>1</v>
      </c>
      <c r="AO24" s="326"/>
      <c r="AP24" s="326">
        <f>AN24+AO24</f>
        <v>1</v>
      </c>
      <c r="AQ24" s="326">
        <f>5+1+4+1</f>
        <v>11</v>
      </c>
      <c r="AR24" s="326"/>
      <c r="AS24" s="326">
        <f>AQ24+AR24</f>
        <v>11</v>
      </c>
      <c r="AU24" s="327">
        <f t="shared" si="13"/>
        <v>21.818181818181817</v>
      </c>
      <c r="AV24" s="327" t="str">
        <f t="shared" si="7"/>
        <v/>
      </c>
      <c r="AW24" s="327">
        <f t="shared" si="8"/>
        <v>21.818181818181817</v>
      </c>
      <c r="AY24" s="328" t="s">
        <v>111</v>
      </c>
    </row>
    <row r="25" spans="1:131" ht="14.25" customHeight="1">
      <c r="A25" s="24">
        <v>21</v>
      </c>
      <c r="B25" s="166" t="s">
        <v>226</v>
      </c>
      <c r="C25" s="36" t="s">
        <v>108</v>
      </c>
      <c r="D25" s="45">
        <v>38</v>
      </c>
      <c r="E25" s="27">
        <v>3.5</v>
      </c>
      <c r="F25" s="85">
        <v>368</v>
      </c>
      <c r="G25" s="86">
        <v>0</v>
      </c>
      <c r="H25" s="61">
        <v>1</v>
      </c>
      <c r="I25" s="47">
        <v>1</v>
      </c>
      <c r="J25" s="31">
        <f t="shared" si="9"/>
        <v>0</v>
      </c>
      <c r="K25" s="31">
        <f t="shared" si="10"/>
        <v>0</v>
      </c>
      <c r="L25" s="31">
        <f t="shared" si="11"/>
        <v>0</v>
      </c>
      <c r="M25" s="31">
        <f t="shared" si="12"/>
        <v>1</v>
      </c>
      <c r="N25" s="31">
        <f t="shared" si="0"/>
        <v>2</v>
      </c>
      <c r="O25" s="31">
        <f t="shared" si="1"/>
        <v>1</v>
      </c>
      <c r="P25" s="31">
        <f t="shared" si="14"/>
        <v>1</v>
      </c>
      <c r="Q25" s="31">
        <f t="shared" si="15"/>
        <v>2</v>
      </c>
      <c r="R25" s="31">
        <f t="shared" si="16"/>
        <v>1</v>
      </c>
      <c r="S25" s="33" t="s">
        <v>77</v>
      </c>
      <c r="T25" s="62"/>
      <c r="U25" s="62"/>
      <c r="V25" s="62"/>
      <c r="W25" s="62" t="s">
        <v>77</v>
      </c>
      <c r="X25" s="4"/>
      <c r="Y25" s="49" t="s">
        <v>112</v>
      </c>
      <c r="AA25" s="326">
        <v>12</v>
      </c>
      <c r="AB25" s="326">
        <f t="shared" si="17"/>
        <v>1970</v>
      </c>
      <c r="AC25" s="326">
        <v>1982</v>
      </c>
      <c r="AD25" s="326">
        <v>197</v>
      </c>
      <c r="AE25" s="326">
        <v>5</v>
      </c>
      <c r="AF25" s="326">
        <f>IF((AD25+AE25&gt;0),AD25+AE25,"")</f>
        <v>202</v>
      </c>
      <c r="AG25" s="326">
        <v>1661</v>
      </c>
      <c r="AH25" s="326">
        <v>107</v>
      </c>
      <c r="AI25" s="326">
        <f>IF((AG25+AH25&gt;0),AG25+AH25,"")</f>
        <v>1768</v>
      </c>
      <c r="AK25" s="326">
        <v>0</v>
      </c>
      <c r="AL25" s="326">
        <f t="shared" si="18"/>
        <v>15</v>
      </c>
      <c r="AM25" s="326">
        <v>15</v>
      </c>
      <c r="AN25" s="326">
        <v>0</v>
      </c>
      <c r="AO25" s="326">
        <v>0</v>
      </c>
      <c r="AP25" s="326">
        <f>AN25+AO25</f>
        <v>0</v>
      </c>
      <c r="AQ25" s="326">
        <v>13</v>
      </c>
      <c r="AR25" s="326">
        <v>2</v>
      </c>
      <c r="AS25" s="326">
        <f>AQ25+AR25</f>
        <v>15</v>
      </c>
      <c r="AU25" s="327">
        <f t="shared" si="13"/>
        <v>0.69967707212055974</v>
      </c>
      <c r="AV25" s="327">
        <f t="shared" si="7"/>
        <v>1.7857142857142856</v>
      </c>
      <c r="AW25" s="327">
        <f t="shared" si="8"/>
        <v>0.76142131979695438</v>
      </c>
      <c r="AY25" s="328" t="s">
        <v>113</v>
      </c>
      <c r="DZ25"/>
      <c r="EA25"/>
    </row>
    <row r="26" spans="1:131">
      <c r="A26" s="24">
        <v>22</v>
      </c>
      <c r="B26" s="166" t="s">
        <v>226</v>
      </c>
      <c r="C26" s="87" t="s">
        <v>108</v>
      </c>
      <c r="D26" s="50">
        <v>60</v>
      </c>
      <c r="E26" s="51">
        <v>5</v>
      </c>
      <c r="F26" s="52">
        <v>49</v>
      </c>
      <c r="G26" s="55">
        <v>0</v>
      </c>
      <c r="H26" s="55">
        <v>16</v>
      </c>
      <c r="I26" s="48"/>
      <c r="J26" s="31" t="str">
        <f t="shared" si="9"/>
        <v/>
      </c>
      <c r="K26" s="31" t="str">
        <f t="shared" si="10"/>
        <v/>
      </c>
      <c r="L26" s="31" t="str">
        <f t="shared" si="11"/>
        <v/>
      </c>
      <c r="M26" s="31" t="str">
        <f t="shared" si="12"/>
        <v/>
      </c>
      <c r="N26" s="31" t="str">
        <f t="shared" si="0"/>
        <v/>
      </c>
      <c r="O26" s="31" t="str">
        <f t="shared" si="1"/>
        <v/>
      </c>
      <c r="P26" s="31" t="str">
        <f t="shared" si="14"/>
        <v/>
      </c>
      <c r="Q26" s="31" t="str">
        <f t="shared" si="15"/>
        <v/>
      </c>
      <c r="R26" s="31" t="str">
        <f t="shared" si="16"/>
        <v/>
      </c>
      <c r="S26" s="78"/>
      <c r="T26" s="62"/>
      <c r="U26" s="62"/>
      <c r="V26" s="62"/>
      <c r="W26" s="62"/>
      <c r="X26" s="4"/>
      <c r="Y26" s="54" t="s">
        <v>114</v>
      </c>
      <c r="AA26" s="326"/>
      <c r="AB26" s="326"/>
      <c r="AC26" s="326"/>
      <c r="AD26" s="326"/>
      <c r="AE26" s="326"/>
      <c r="AF26" s="326"/>
      <c r="AG26" s="326"/>
      <c r="AH26" s="326"/>
      <c r="AI26" s="326"/>
      <c r="AK26" s="326"/>
      <c r="AL26" s="326"/>
      <c r="AM26" s="326"/>
      <c r="AN26" s="326"/>
      <c r="AO26" s="326"/>
      <c r="AP26" s="326"/>
      <c r="AQ26" s="326"/>
      <c r="AR26" s="326"/>
      <c r="AS26" s="326"/>
      <c r="AU26" s="327" t="str">
        <f t="shared" si="13"/>
        <v/>
      </c>
      <c r="AV26" s="327" t="str">
        <f t="shared" si="7"/>
        <v/>
      </c>
      <c r="AW26" s="327" t="str">
        <f t="shared" si="8"/>
        <v/>
      </c>
      <c r="AY26" s="328" t="s">
        <v>115</v>
      </c>
      <c r="DZ26"/>
      <c r="EA26"/>
    </row>
    <row r="27" spans="1:131">
      <c r="A27" s="24">
        <v>23</v>
      </c>
      <c r="B27" s="166" t="s">
        <v>226</v>
      </c>
      <c r="C27" s="87" t="s">
        <v>108</v>
      </c>
      <c r="D27" s="50">
        <v>157</v>
      </c>
      <c r="E27" s="51">
        <v>2.8</v>
      </c>
      <c r="F27" s="52">
        <v>78.5</v>
      </c>
      <c r="G27" s="60"/>
      <c r="H27" s="60"/>
      <c r="I27" s="88">
        <v>10</v>
      </c>
      <c r="J27" s="31" t="str">
        <f t="shared" si="9"/>
        <v/>
      </c>
      <c r="K27" s="31" t="str">
        <f t="shared" si="10"/>
        <v/>
      </c>
      <c r="L27" s="31">
        <f t="shared" si="11"/>
        <v>40</v>
      </c>
      <c r="M27" s="31" t="str">
        <f t="shared" si="12"/>
        <v/>
      </c>
      <c r="N27" s="31" t="str">
        <f t="shared" si="0"/>
        <v/>
      </c>
      <c r="O27" s="31">
        <f t="shared" si="1"/>
        <v>8</v>
      </c>
      <c r="P27" s="31" t="str">
        <f t="shared" si="14"/>
        <v/>
      </c>
      <c r="Q27" s="31" t="str">
        <f t="shared" si="15"/>
        <v/>
      </c>
      <c r="R27" s="31">
        <f t="shared" si="16"/>
        <v>10</v>
      </c>
      <c r="S27" s="78"/>
      <c r="T27" s="62"/>
      <c r="U27" s="62"/>
      <c r="V27" s="62"/>
      <c r="W27" s="62"/>
      <c r="X27" s="4"/>
      <c r="Y27" s="54" t="s">
        <v>116</v>
      </c>
      <c r="AA27" s="326"/>
      <c r="AB27" s="326">
        <f t="shared" si="17"/>
        <v>216</v>
      </c>
      <c r="AC27" s="326">
        <v>216</v>
      </c>
      <c r="AD27" s="326"/>
      <c r="AE27" s="326"/>
      <c r="AF27" s="326">
        <v>10</v>
      </c>
      <c r="AG27" s="326"/>
      <c r="AH27" s="326"/>
      <c r="AI27" s="326">
        <v>206</v>
      </c>
      <c r="AK27" s="326"/>
      <c r="AL27" s="326">
        <f t="shared" si="18"/>
        <v>21</v>
      </c>
      <c r="AM27" s="326">
        <v>21</v>
      </c>
      <c r="AN27" s="326"/>
      <c r="AO27" s="326"/>
      <c r="AP27" s="326">
        <v>4</v>
      </c>
      <c r="AQ27" s="326"/>
      <c r="AR27" s="326"/>
      <c r="AS27" s="326">
        <v>17</v>
      </c>
      <c r="AU27" s="327" t="str">
        <f t="shared" si="13"/>
        <v/>
      </c>
      <c r="AV27" s="327" t="str">
        <f t="shared" si="7"/>
        <v/>
      </c>
      <c r="AW27" s="327">
        <f t="shared" si="8"/>
        <v>9.7222222222222232</v>
      </c>
      <c r="AY27" s="328" t="s">
        <v>117</v>
      </c>
      <c r="DZ27"/>
      <c r="EA27"/>
    </row>
    <row r="28" spans="1:131" ht="14.25" customHeight="1">
      <c r="A28" s="24">
        <v>24</v>
      </c>
      <c r="B28" s="166" t="s">
        <v>226</v>
      </c>
      <c r="C28" s="36" t="s">
        <v>108</v>
      </c>
      <c r="D28" s="37">
        <v>400</v>
      </c>
      <c r="E28" s="38">
        <v>0.9</v>
      </c>
      <c r="F28" s="59">
        <v>205</v>
      </c>
      <c r="G28" s="86">
        <v>49</v>
      </c>
      <c r="H28" s="61">
        <v>0</v>
      </c>
      <c r="I28" s="47">
        <v>2</v>
      </c>
      <c r="J28" s="31">
        <f t="shared" ref="J28:J36" si="19">IF(ISNUMBER(AN28/AD28*100),ROUND(AN28/AD28*100,0),"")</f>
        <v>0</v>
      </c>
      <c r="K28" s="31" t="str">
        <f t="shared" ref="K28:K36" si="20">IF(ISNUMBER(AO28/AE28*100),ROUND(AO28/AE28*100,0),"")</f>
        <v/>
      </c>
      <c r="L28" s="31">
        <f t="shared" ref="L28:L36" si="21">IF(ISNUMBER(AP28/AF28*100),ROUND(AP28/AF28*100,0),"")</f>
        <v>0</v>
      </c>
      <c r="M28" s="357">
        <f t="shared" ref="M28:M36" si="22">IF(ISNUMBER(AQ28/AG28*100),ROUND(AQ28/AG28*100,0),"")</f>
        <v>0</v>
      </c>
      <c r="N28" s="31"/>
      <c r="O28" s="357">
        <f t="shared" ref="O28:O59" si="23">IF(ISNUMBER(AS28/AI28*100),ROUND(AS28/AI28*100,0),"")</f>
        <v>15</v>
      </c>
      <c r="P28" s="31">
        <f t="shared" ref="P28:P59" si="24">IF(ISNUMBER(AU28),ROUND(AU28,0),"")</f>
        <v>0</v>
      </c>
      <c r="Q28" s="31"/>
      <c r="R28" s="31">
        <f t="shared" si="16"/>
        <v>2</v>
      </c>
      <c r="S28" s="78" t="s">
        <v>75</v>
      </c>
      <c r="T28" s="42" t="s">
        <v>77</v>
      </c>
      <c r="U28" s="62" t="s">
        <v>77</v>
      </c>
      <c r="V28" s="62" t="s">
        <v>75</v>
      </c>
      <c r="W28" s="62" t="s">
        <v>76</v>
      </c>
      <c r="X28" s="4"/>
      <c r="Y28" s="43" t="s">
        <v>118</v>
      </c>
      <c r="AA28" s="326">
        <v>49</v>
      </c>
      <c r="AB28" s="326">
        <f t="shared" si="17"/>
        <v>1600</v>
      </c>
      <c r="AC28" s="326">
        <v>1649</v>
      </c>
      <c r="AD28" s="326">
        <v>137</v>
      </c>
      <c r="AE28" s="326"/>
      <c r="AF28" s="326">
        <f>IF((AD28+AE28&gt;0),AD28+AE28,"")</f>
        <v>137</v>
      </c>
      <c r="AG28" s="326">
        <v>12</v>
      </c>
      <c r="AH28" s="326">
        <v>8</v>
      </c>
      <c r="AI28" s="326">
        <f>IF((AG28+AH28&gt;0),AG28+AH28,"")</f>
        <v>20</v>
      </c>
      <c r="AK28" s="326">
        <v>24</v>
      </c>
      <c r="AL28" s="326">
        <f t="shared" si="18"/>
        <v>4</v>
      </c>
      <c r="AM28" s="326">
        <v>28</v>
      </c>
      <c r="AN28" s="326"/>
      <c r="AO28" s="326"/>
      <c r="AP28" s="326">
        <f>SUM(AO28:AO28)</f>
        <v>0</v>
      </c>
      <c r="AQ28" s="326">
        <v>0</v>
      </c>
      <c r="AR28" s="326">
        <v>3</v>
      </c>
      <c r="AS28" s="326">
        <f>SUM(AR28:AR28)</f>
        <v>3</v>
      </c>
      <c r="AU28" s="327">
        <f t="shared" si="13"/>
        <v>0</v>
      </c>
      <c r="AV28" s="327">
        <f t="shared" si="7"/>
        <v>37.5</v>
      </c>
      <c r="AW28" s="327">
        <f t="shared" si="8"/>
        <v>1.910828025477707</v>
      </c>
      <c r="AY28" s="328" t="s">
        <v>113</v>
      </c>
      <c r="DZ28"/>
      <c r="EA28"/>
    </row>
    <row r="29" spans="1:131" ht="14.25" customHeight="1">
      <c r="A29" s="24">
        <v>25</v>
      </c>
      <c r="B29" s="166" t="s">
        <v>226</v>
      </c>
      <c r="C29" s="36" t="s">
        <v>108</v>
      </c>
      <c r="D29" s="37">
        <v>500</v>
      </c>
      <c r="E29" s="38">
        <v>5</v>
      </c>
      <c r="F29" s="59">
        <v>110</v>
      </c>
      <c r="G29" s="60"/>
      <c r="H29" s="60"/>
      <c r="I29" s="89">
        <v>3</v>
      </c>
      <c r="J29" s="31" t="str">
        <f t="shared" si="19"/>
        <v/>
      </c>
      <c r="K29" s="31" t="str">
        <f t="shared" si="20"/>
        <v/>
      </c>
      <c r="L29" s="31" t="str">
        <f t="shared" si="21"/>
        <v/>
      </c>
      <c r="M29" s="31" t="str">
        <f t="shared" si="22"/>
        <v/>
      </c>
      <c r="N29" s="31" t="str">
        <f t="shared" ref="N29:N45" si="25">IF(ISNUMBER(AR29/AH29*100),ROUND(AR29/AH29*100,0),"")</f>
        <v/>
      </c>
      <c r="O29" s="31" t="str">
        <f t="shared" si="23"/>
        <v/>
      </c>
      <c r="P29" s="31" t="str">
        <f t="shared" si="24"/>
        <v/>
      </c>
      <c r="Q29" s="31" t="str">
        <f t="shared" ref="Q29:Q36" si="26">IF(ISNUMBER(AV29),ROUND(AV29,0),"")</f>
        <v/>
      </c>
      <c r="R29" s="31" t="str">
        <f t="shared" si="16"/>
        <v/>
      </c>
      <c r="S29" s="78"/>
      <c r="T29" s="42"/>
      <c r="U29" s="62"/>
      <c r="V29" s="62"/>
      <c r="W29" s="62"/>
      <c r="X29" s="4"/>
      <c r="Y29" s="43" t="s">
        <v>119</v>
      </c>
      <c r="AA29" s="326"/>
      <c r="AB29" s="326"/>
      <c r="AC29" s="326"/>
      <c r="AD29" s="326"/>
      <c r="AE29" s="326"/>
      <c r="AF29" s="326"/>
      <c r="AG29" s="326"/>
      <c r="AH29" s="326"/>
      <c r="AI29" s="326"/>
      <c r="AK29" s="326"/>
      <c r="AL29" s="326"/>
      <c r="AM29" s="326"/>
      <c r="AN29" s="326"/>
      <c r="AO29" s="326"/>
      <c r="AP29" s="326"/>
      <c r="AQ29" s="326"/>
      <c r="AR29" s="326"/>
      <c r="AS29" s="326"/>
      <c r="AU29" s="327" t="str">
        <f t="shared" si="13"/>
        <v/>
      </c>
      <c r="AV29" s="327" t="str">
        <f t="shared" si="7"/>
        <v/>
      </c>
      <c r="AW29" s="327" t="str">
        <f t="shared" si="8"/>
        <v/>
      </c>
      <c r="AY29" s="328" t="s">
        <v>120</v>
      </c>
      <c r="DZ29"/>
      <c r="EA29"/>
    </row>
    <row r="30" spans="1:131" ht="14.25" customHeight="1">
      <c r="A30" s="24">
        <v>26</v>
      </c>
      <c r="B30" s="166" t="s">
        <v>226</v>
      </c>
      <c r="C30" s="36" t="s">
        <v>108</v>
      </c>
      <c r="D30" s="37">
        <v>580</v>
      </c>
      <c r="E30" s="38">
        <v>6</v>
      </c>
      <c r="F30" s="59">
        <v>110</v>
      </c>
      <c r="G30" s="86">
        <v>0</v>
      </c>
      <c r="H30" s="60"/>
      <c r="I30" s="89">
        <v>3</v>
      </c>
      <c r="J30" s="31" t="str">
        <f t="shared" si="19"/>
        <v/>
      </c>
      <c r="K30" s="31" t="str">
        <f t="shared" si="20"/>
        <v/>
      </c>
      <c r="L30" s="31" t="str">
        <f t="shared" si="21"/>
        <v/>
      </c>
      <c r="M30" s="31" t="str">
        <f t="shared" si="22"/>
        <v/>
      </c>
      <c r="N30" s="31" t="str">
        <f t="shared" si="25"/>
        <v/>
      </c>
      <c r="O30" s="31" t="str">
        <f t="shared" si="23"/>
        <v/>
      </c>
      <c r="P30" s="31" t="str">
        <f t="shared" si="24"/>
        <v/>
      </c>
      <c r="Q30" s="31" t="str">
        <f t="shared" si="26"/>
        <v/>
      </c>
      <c r="R30" s="31" t="str">
        <f t="shared" si="16"/>
        <v/>
      </c>
      <c r="S30" s="78"/>
      <c r="T30" s="42"/>
      <c r="U30" s="62"/>
      <c r="V30" s="62"/>
      <c r="W30" s="62"/>
      <c r="X30" s="4"/>
      <c r="Y30" s="43" t="s">
        <v>121</v>
      </c>
      <c r="AA30" s="326"/>
      <c r="AB30" s="326"/>
      <c r="AC30" s="326"/>
      <c r="AD30" s="326"/>
      <c r="AE30" s="326"/>
      <c r="AF30" s="326"/>
      <c r="AG30" s="326"/>
      <c r="AH30" s="326"/>
      <c r="AI30" s="326"/>
      <c r="AK30" s="326"/>
      <c r="AL30" s="326"/>
      <c r="AM30" s="326"/>
      <c r="AN30" s="326"/>
      <c r="AO30" s="326"/>
      <c r="AP30" s="326"/>
      <c r="AQ30" s="326"/>
      <c r="AR30" s="326"/>
      <c r="AS30" s="326"/>
      <c r="AU30" s="327" t="str">
        <f t="shared" si="13"/>
        <v/>
      </c>
      <c r="AV30" s="327" t="str">
        <f t="shared" si="7"/>
        <v/>
      </c>
      <c r="AW30" s="327" t="str">
        <f t="shared" si="8"/>
        <v/>
      </c>
      <c r="AY30" s="328" t="s">
        <v>120</v>
      </c>
      <c r="DZ30"/>
      <c r="EA30"/>
    </row>
    <row r="31" spans="1:131" ht="14.25" customHeight="1">
      <c r="A31" s="24">
        <v>27</v>
      </c>
      <c r="B31" s="166" t="s">
        <v>226</v>
      </c>
      <c r="C31" s="87" t="s">
        <v>108</v>
      </c>
      <c r="D31" s="50">
        <v>690</v>
      </c>
      <c r="E31" s="51">
        <v>1.7</v>
      </c>
      <c r="F31" s="52">
        <v>70</v>
      </c>
      <c r="G31" s="60"/>
      <c r="H31" s="61">
        <v>0</v>
      </c>
      <c r="I31" s="47">
        <v>0</v>
      </c>
      <c r="J31" s="31" t="str">
        <f t="shared" si="19"/>
        <v/>
      </c>
      <c r="K31" s="31" t="str">
        <f t="shared" si="20"/>
        <v/>
      </c>
      <c r="L31" s="31">
        <f t="shared" si="21"/>
        <v>0</v>
      </c>
      <c r="M31" s="31" t="str">
        <f t="shared" si="22"/>
        <v/>
      </c>
      <c r="N31" s="31" t="str">
        <f t="shared" si="25"/>
        <v/>
      </c>
      <c r="O31" s="31">
        <f t="shared" si="23"/>
        <v>0</v>
      </c>
      <c r="P31" s="31" t="str">
        <f t="shared" si="24"/>
        <v/>
      </c>
      <c r="Q31" s="31" t="str">
        <f t="shared" si="26"/>
        <v/>
      </c>
      <c r="R31" s="31">
        <f t="shared" si="16"/>
        <v>0</v>
      </c>
      <c r="S31" s="78"/>
      <c r="T31" s="62"/>
      <c r="U31" s="62"/>
      <c r="V31" s="62"/>
      <c r="W31" s="62"/>
      <c r="X31" s="4"/>
      <c r="Y31" s="54" t="s">
        <v>122</v>
      </c>
      <c r="AA31" s="326">
        <v>2</v>
      </c>
      <c r="AB31" s="326">
        <f t="shared" si="17"/>
        <v>21</v>
      </c>
      <c r="AC31" s="326">
        <v>23</v>
      </c>
      <c r="AD31" s="326"/>
      <c r="AE31" s="326"/>
      <c r="AF31" s="326">
        <f>3</f>
        <v>3</v>
      </c>
      <c r="AG31" s="326"/>
      <c r="AH31" s="326"/>
      <c r="AI31" s="326">
        <f>12+6</f>
        <v>18</v>
      </c>
      <c r="AK31" s="326">
        <v>0</v>
      </c>
      <c r="AL31" s="326">
        <f t="shared" si="18"/>
        <v>0</v>
      </c>
      <c r="AM31" s="326">
        <v>0</v>
      </c>
      <c r="AN31" s="326"/>
      <c r="AO31" s="326"/>
      <c r="AP31" s="326">
        <v>0</v>
      </c>
      <c r="AQ31" s="326"/>
      <c r="AR31" s="326"/>
      <c r="AS31" s="326">
        <v>0</v>
      </c>
      <c r="AU31" s="327" t="str">
        <f t="shared" si="13"/>
        <v/>
      </c>
      <c r="AV31" s="327" t="str">
        <f t="shared" si="7"/>
        <v/>
      </c>
      <c r="AW31" s="327">
        <f t="shared" si="8"/>
        <v>0</v>
      </c>
      <c r="AY31" s="328" t="s">
        <v>97</v>
      </c>
      <c r="DZ31"/>
      <c r="EA31"/>
    </row>
    <row r="32" spans="1:131" ht="14.25" customHeight="1">
      <c r="A32" s="24">
        <v>28</v>
      </c>
      <c r="B32" s="166" t="s">
        <v>226</v>
      </c>
      <c r="C32" s="87" t="s">
        <v>108</v>
      </c>
      <c r="D32" s="50">
        <v>690</v>
      </c>
      <c r="E32" s="51">
        <v>1.7</v>
      </c>
      <c r="F32" s="52">
        <v>70</v>
      </c>
      <c r="G32" s="60"/>
      <c r="H32" s="61">
        <v>0</v>
      </c>
      <c r="I32" s="47">
        <v>0</v>
      </c>
      <c r="J32" s="31">
        <f t="shared" si="19"/>
        <v>0</v>
      </c>
      <c r="K32" s="31">
        <f t="shared" si="20"/>
        <v>0</v>
      </c>
      <c r="L32" s="31">
        <f t="shared" si="21"/>
        <v>0</v>
      </c>
      <c r="M32" s="31" t="str">
        <f t="shared" si="22"/>
        <v/>
      </c>
      <c r="N32" s="31" t="str">
        <f t="shared" si="25"/>
        <v/>
      </c>
      <c r="O32" s="31">
        <f t="shared" si="23"/>
        <v>0</v>
      </c>
      <c r="P32" s="31">
        <f t="shared" si="24"/>
        <v>0</v>
      </c>
      <c r="Q32" s="31">
        <f t="shared" si="26"/>
        <v>0</v>
      </c>
      <c r="R32" s="31">
        <f t="shared" si="16"/>
        <v>0</v>
      </c>
      <c r="S32" s="78"/>
      <c r="T32" s="62"/>
      <c r="U32" s="62"/>
      <c r="V32" s="62"/>
      <c r="W32" s="62"/>
      <c r="X32" s="4"/>
      <c r="Y32" s="54" t="s">
        <v>123</v>
      </c>
      <c r="AA32" s="326">
        <v>4</v>
      </c>
      <c r="AB32" s="326">
        <f t="shared" si="17"/>
        <v>125</v>
      </c>
      <c r="AC32" s="326">
        <f>11+37+16+1+4+60</f>
        <v>129</v>
      </c>
      <c r="AD32" s="326">
        <v>11</v>
      </c>
      <c r="AE32" s="326">
        <v>1</v>
      </c>
      <c r="AF32" s="326">
        <f>IF((AD32+AE32&gt;0),AD32+AE32,"")</f>
        <v>12</v>
      </c>
      <c r="AG32" s="326"/>
      <c r="AH32" s="326"/>
      <c r="AI32" s="326">
        <f>37+16+60</f>
        <v>113</v>
      </c>
      <c r="AK32" s="326">
        <v>0</v>
      </c>
      <c r="AL32" s="326">
        <f t="shared" si="18"/>
        <v>0</v>
      </c>
      <c r="AM32" s="326">
        <v>0</v>
      </c>
      <c r="AN32" s="326">
        <v>0</v>
      </c>
      <c r="AO32" s="326">
        <v>0</v>
      </c>
      <c r="AP32" s="326">
        <f>AN32+AO32</f>
        <v>0</v>
      </c>
      <c r="AQ32" s="326"/>
      <c r="AR32" s="326"/>
      <c r="AS32" s="326">
        <v>0</v>
      </c>
      <c r="AU32" s="327">
        <f t="shared" si="13"/>
        <v>0</v>
      </c>
      <c r="AV32" s="327">
        <f t="shared" si="7"/>
        <v>0</v>
      </c>
      <c r="AW32" s="327">
        <f t="shared" si="8"/>
        <v>0</v>
      </c>
      <c r="AY32" s="328" t="s">
        <v>97</v>
      </c>
      <c r="DZ32"/>
      <c r="EA32"/>
    </row>
    <row r="33" spans="1:131" ht="14.25" customHeight="1" thickBot="1">
      <c r="A33" s="24">
        <v>29</v>
      </c>
      <c r="B33" s="166" t="s">
        <v>226</v>
      </c>
      <c r="C33" s="87" t="s">
        <v>108</v>
      </c>
      <c r="D33" s="66">
        <v>1080</v>
      </c>
      <c r="E33" s="51">
        <v>1.7</v>
      </c>
      <c r="F33" s="68">
        <v>59</v>
      </c>
      <c r="G33" s="90">
        <v>0</v>
      </c>
      <c r="H33" s="90">
        <v>1</v>
      </c>
      <c r="I33" s="91">
        <v>1</v>
      </c>
      <c r="J33" s="31" t="str">
        <f t="shared" si="19"/>
        <v/>
      </c>
      <c r="K33" s="31" t="str">
        <f t="shared" si="20"/>
        <v/>
      </c>
      <c r="L33" s="31" t="str">
        <f t="shared" si="21"/>
        <v/>
      </c>
      <c r="M33" s="31" t="str">
        <f t="shared" si="22"/>
        <v/>
      </c>
      <c r="N33" s="31" t="str">
        <f t="shared" si="25"/>
        <v/>
      </c>
      <c r="O33" s="31" t="str">
        <f t="shared" si="23"/>
        <v/>
      </c>
      <c r="P33" s="31" t="str">
        <f t="shared" si="24"/>
        <v/>
      </c>
      <c r="Q33" s="31" t="str">
        <f t="shared" si="26"/>
        <v/>
      </c>
      <c r="R33" s="31" t="str">
        <f t="shared" si="16"/>
        <v/>
      </c>
      <c r="S33" s="318"/>
      <c r="T33" s="72"/>
      <c r="U33" s="72"/>
      <c r="V33" s="72"/>
      <c r="W33" s="72"/>
      <c r="X33" s="4"/>
      <c r="Y33" s="92" t="s">
        <v>124</v>
      </c>
      <c r="AA33" s="326">
        <v>56</v>
      </c>
      <c r="AB33" s="326">
        <f t="shared" si="17"/>
        <v>587</v>
      </c>
      <c r="AC33" s="326">
        <f>577+10+56</f>
        <v>643</v>
      </c>
      <c r="AD33" s="326"/>
      <c r="AE33" s="326"/>
      <c r="AF33" s="326"/>
      <c r="AG33" s="326"/>
      <c r="AH33" s="326"/>
      <c r="AI33" s="326"/>
      <c r="AK33" s="326">
        <v>0</v>
      </c>
      <c r="AL33" s="326">
        <f t="shared" si="18"/>
        <v>8</v>
      </c>
      <c r="AM33" s="326">
        <v>8</v>
      </c>
      <c r="AN33" s="326"/>
      <c r="AO33" s="326"/>
      <c r="AP33" s="326"/>
      <c r="AQ33" s="326"/>
      <c r="AR33" s="326"/>
      <c r="AS33" s="326"/>
      <c r="AU33" s="327" t="str">
        <f t="shared" si="13"/>
        <v/>
      </c>
      <c r="AV33" s="327" t="str">
        <f t="shared" si="7"/>
        <v/>
      </c>
      <c r="AW33" s="327" t="str">
        <f t="shared" si="8"/>
        <v/>
      </c>
      <c r="AY33" s="328" t="s">
        <v>125</v>
      </c>
      <c r="DZ33"/>
      <c r="EA33"/>
    </row>
    <row r="34" spans="1:131" s="35" customFormat="1" ht="15.75" customHeight="1">
      <c r="A34" s="24">
        <v>30</v>
      </c>
      <c r="B34" s="166" t="s">
        <v>46</v>
      </c>
      <c r="C34" s="93" t="s">
        <v>47</v>
      </c>
      <c r="D34" s="94">
        <v>12.5</v>
      </c>
      <c r="E34" s="95">
        <v>1.5</v>
      </c>
      <c r="F34" s="96">
        <v>480</v>
      </c>
      <c r="G34" s="97">
        <v>0</v>
      </c>
      <c r="H34" s="98">
        <v>0</v>
      </c>
      <c r="I34" s="98">
        <v>0</v>
      </c>
      <c r="J34" s="31" t="str">
        <f t="shared" si="19"/>
        <v/>
      </c>
      <c r="K34" s="31" t="str">
        <f t="shared" si="20"/>
        <v/>
      </c>
      <c r="L34" s="31" t="str">
        <f t="shared" si="21"/>
        <v/>
      </c>
      <c r="M34" s="31">
        <f t="shared" si="22"/>
        <v>0</v>
      </c>
      <c r="N34" s="31">
        <f t="shared" si="25"/>
        <v>0</v>
      </c>
      <c r="O34" s="31">
        <f t="shared" si="23"/>
        <v>0</v>
      </c>
      <c r="P34" s="31">
        <f t="shared" si="24"/>
        <v>0</v>
      </c>
      <c r="Q34" s="31">
        <f t="shared" si="26"/>
        <v>0</v>
      </c>
      <c r="R34" s="31">
        <f t="shared" si="16"/>
        <v>0</v>
      </c>
      <c r="S34" s="133" t="s">
        <v>75</v>
      </c>
      <c r="T34" s="99" t="s">
        <v>77</v>
      </c>
      <c r="U34" s="32" t="s">
        <v>85</v>
      </c>
      <c r="V34" s="99" t="s">
        <v>76</v>
      </c>
      <c r="W34" s="32"/>
      <c r="X34" s="4"/>
      <c r="Y34" s="100" t="s">
        <v>126</v>
      </c>
      <c r="Z34" s="4"/>
      <c r="AA34" s="326">
        <v>110</v>
      </c>
      <c r="AB34" s="326">
        <f t="shared" si="17"/>
        <v>140</v>
      </c>
      <c r="AC34" s="326">
        <v>250</v>
      </c>
      <c r="AD34" s="326"/>
      <c r="AE34" s="326"/>
      <c r="AF34" s="326"/>
      <c r="AG34" s="326">
        <f>31+2</f>
        <v>33</v>
      </c>
      <c r="AH34" s="326">
        <f>102+2</f>
        <v>104</v>
      </c>
      <c r="AI34" s="326">
        <f>IF((AG34+AH34&gt;0),AG34+AH34,"")</f>
        <v>137</v>
      </c>
      <c r="AJ34" s="4"/>
      <c r="AK34" s="326">
        <v>0</v>
      </c>
      <c r="AL34" s="326">
        <f t="shared" si="18"/>
        <v>0</v>
      </c>
      <c r="AM34" s="326">
        <v>0</v>
      </c>
      <c r="AN34" s="326"/>
      <c r="AO34" s="326"/>
      <c r="AP34" s="326"/>
      <c r="AQ34" s="326">
        <v>0</v>
      </c>
      <c r="AR34" s="326">
        <v>0</v>
      </c>
      <c r="AS34" s="326">
        <f>AQ34+AR34</f>
        <v>0</v>
      </c>
      <c r="AT34" s="4"/>
      <c r="AU34" s="327">
        <f t="shared" si="13"/>
        <v>0</v>
      </c>
      <c r="AV34" s="327">
        <f t="shared" si="7"/>
        <v>0</v>
      </c>
      <c r="AW34" s="327">
        <f t="shared" si="8"/>
        <v>0</v>
      </c>
      <c r="AX34" s="4"/>
      <c r="AY34" s="328" t="s">
        <v>127</v>
      </c>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row>
    <row r="35" spans="1:131" ht="14.25" customHeight="1">
      <c r="A35" s="24">
        <v>31</v>
      </c>
      <c r="B35" s="166" t="s">
        <v>46</v>
      </c>
      <c r="C35" s="93" t="s">
        <v>128</v>
      </c>
      <c r="D35" s="101">
        <v>22</v>
      </c>
      <c r="E35" s="51">
        <v>1.1499999999999999</v>
      </c>
      <c r="F35" s="102">
        <v>735</v>
      </c>
      <c r="G35" s="103"/>
      <c r="H35" s="47">
        <v>15</v>
      </c>
      <c r="I35" s="47">
        <v>16</v>
      </c>
      <c r="J35" s="31" t="str">
        <f t="shared" si="19"/>
        <v/>
      </c>
      <c r="K35" s="31" t="str">
        <f t="shared" si="20"/>
        <v/>
      </c>
      <c r="L35" s="31" t="str">
        <f t="shared" si="21"/>
        <v/>
      </c>
      <c r="M35" s="31" t="str">
        <f t="shared" si="22"/>
        <v/>
      </c>
      <c r="N35" s="31" t="str">
        <f t="shared" si="25"/>
        <v/>
      </c>
      <c r="O35" s="31" t="str">
        <f t="shared" si="23"/>
        <v/>
      </c>
      <c r="P35" s="31" t="str">
        <f t="shared" si="24"/>
        <v/>
      </c>
      <c r="Q35" s="31" t="str">
        <f t="shared" si="26"/>
        <v/>
      </c>
      <c r="R35" s="31" t="str">
        <f t="shared" si="16"/>
        <v/>
      </c>
      <c r="S35" s="78"/>
      <c r="T35" s="104"/>
      <c r="U35" s="62"/>
      <c r="V35" s="104"/>
      <c r="W35" s="62"/>
      <c r="X35" s="4"/>
      <c r="Y35" s="54" t="s">
        <v>129</v>
      </c>
      <c r="AA35" s="326">
        <f>6+3</f>
        <v>9</v>
      </c>
      <c r="AB35" s="326">
        <f t="shared" si="17"/>
        <v>1038</v>
      </c>
      <c r="AC35" s="326">
        <f>1047</f>
        <v>1047</v>
      </c>
      <c r="AD35" s="326"/>
      <c r="AE35" s="326"/>
      <c r="AF35" s="326"/>
      <c r="AG35" s="326"/>
      <c r="AH35" s="326"/>
      <c r="AI35" s="326"/>
      <c r="AK35" s="326">
        <v>3</v>
      </c>
      <c r="AL35" s="326">
        <f t="shared" si="18"/>
        <v>156</v>
      </c>
      <c r="AM35" s="326">
        <v>159</v>
      </c>
      <c r="AN35" s="326"/>
      <c r="AO35" s="326"/>
      <c r="AP35" s="326"/>
      <c r="AQ35" s="326"/>
      <c r="AR35" s="326"/>
      <c r="AS35" s="326"/>
      <c r="AU35" s="327" t="str">
        <f t="shared" si="13"/>
        <v/>
      </c>
      <c r="AV35" s="327" t="str">
        <f t="shared" si="7"/>
        <v/>
      </c>
      <c r="AW35" s="327" t="str">
        <f t="shared" si="8"/>
        <v/>
      </c>
      <c r="AY35" s="328" t="s">
        <v>130</v>
      </c>
      <c r="DZ35"/>
      <c r="EA35"/>
    </row>
    <row r="36" spans="1:131" s="4" customFormat="1" ht="15.75" customHeight="1">
      <c r="A36" s="24">
        <v>32</v>
      </c>
      <c r="B36" s="166" t="s">
        <v>46</v>
      </c>
      <c r="C36" s="93" t="s">
        <v>128</v>
      </c>
      <c r="D36" s="101">
        <v>22</v>
      </c>
      <c r="E36" s="51">
        <v>1.1499999999999999</v>
      </c>
      <c r="F36" s="102">
        <v>735</v>
      </c>
      <c r="G36" s="105">
        <v>0</v>
      </c>
      <c r="H36" s="47">
        <v>1</v>
      </c>
      <c r="I36" s="47">
        <v>1</v>
      </c>
      <c r="J36" s="31" t="str">
        <f t="shared" si="19"/>
        <v/>
      </c>
      <c r="K36" s="31" t="str">
        <f t="shared" si="20"/>
        <v/>
      </c>
      <c r="L36" s="31" t="str">
        <f t="shared" si="21"/>
        <v/>
      </c>
      <c r="M36" s="31" t="str">
        <f t="shared" si="22"/>
        <v/>
      </c>
      <c r="N36" s="31" t="str">
        <f t="shared" si="25"/>
        <v/>
      </c>
      <c r="O36" s="31" t="str">
        <f t="shared" si="23"/>
        <v/>
      </c>
      <c r="P36" s="31" t="str">
        <f t="shared" si="24"/>
        <v/>
      </c>
      <c r="Q36" s="31" t="str">
        <f t="shared" si="26"/>
        <v/>
      </c>
      <c r="R36" s="31" t="str">
        <f t="shared" si="16"/>
        <v/>
      </c>
      <c r="S36" s="78"/>
      <c r="T36" s="104"/>
      <c r="U36" s="62"/>
      <c r="V36" s="104"/>
      <c r="W36" s="62"/>
      <c r="Y36" s="54" t="s">
        <v>131</v>
      </c>
      <c r="AA36" s="326">
        <v>150</v>
      </c>
      <c r="AB36" s="326">
        <f t="shared" si="17"/>
        <v>8182</v>
      </c>
      <c r="AC36" s="326">
        <v>8332</v>
      </c>
      <c r="AD36" s="326"/>
      <c r="AE36" s="326"/>
      <c r="AF36" s="326"/>
      <c r="AG36" s="326"/>
      <c r="AH36" s="326"/>
      <c r="AI36" s="326"/>
      <c r="AK36" s="326">
        <v>0</v>
      </c>
      <c r="AL36" s="326">
        <f t="shared" si="18"/>
        <v>50</v>
      </c>
      <c r="AM36" s="326">
        <v>50</v>
      </c>
      <c r="AN36" s="326"/>
      <c r="AO36" s="326"/>
      <c r="AP36" s="326"/>
      <c r="AQ36" s="326"/>
      <c r="AR36" s="326"/>
      <c r="AS36" s="326"/>
      <c r="AU36" s="327" t="str">
        <f t="shared" si="13"/>
        <v/>
      </c>
      <c r="AV36" s="327" t="str">
        <f t="shared" si="7"/>
        <v/>
      </c>
      <c r="AW36" s="327" t="str">
        <f t="shared" si="8"/>
        <v/>
      </c>
      <c r="AY36" s="328" t="s">
        <v>130</v>
      </c>
    </row>
    <row r="37" spans="1:131" ht="14.25" customHeight="1">
      <c r="A37" s="24">
        <v>33</v>
      </c>
      <c r="B37" s="166" t="s">
        <v>46</v>
      </c>
      <c r="C37" s="106" t="s">
        <v>128</v>
      </c>
      <c r="D37" s="107">
        <v>24</v>
      </c>
      <c r="E37" s="38">
        <v>1.1499999999999999</v>
      </c>
      <c r="F37" s="108"/>
      <c r="G37" s="103"/>
      <c r="H37" s="47">
        <v>0</v>
      </c>
      <c r="I37" s="47">
        <v>0</v>
      </c>
      <c r="J37" s="31">
        <f t="shared" ref="J37:J68" si="27">IF(ISNUMBER(AN37/AD37*100),ROUND(AN37/AD37*100,0),"")</f>
        <v>0</v>
      </c>
      <c r="K37" s="31"/>
      <c r="L37" s="31">
        <f t="shared" ref="L37:L79" si="28">IF(ISNUMBER(AP37/AF37*100),ROUND(AP37/AF37*100,0),"")</f>
        <v>0</v>
      </c>
      <c r="M37" s="31">
        <f t="shared" ref="M37:M79" si="29">IF(ISNUMBER(AQ37/AG37*100),ROUND(AQ37/AG37*100,0),"")</f>
        <v>1</v>
      </c>
      <c r="N37" s="31">
        <f t="shared" si="25"/>
        <v>0</v>
      </c>
      <c r="O37" s="31">
        <f t="shared" si="23"/>
        <v>1</v>
      </c>
      <c r="P37" s="31">
        <f t="shared" si="24"/>
        <v>0</v>
      </c>
      <c r="Q37" s="322"/>
      <c r="R37" s="31">
        <f t="shared" si="16"/>
        <v>0</v>
      </c>
      <c r="S37" s="78" t="s">
        <v>94</v>
      </c>
      <c r="T37" s="104"/>
      <c r="U37" s="62"/>
      <c r="V37" s="104"/>
      <c r="W37" s="62" t="s">
        <v>75</v>
      </c>
      <c r="X37" s="4"/>
      <c r="Y37" s="49" t="s">
        <v>132</v>
      </c>
      <c r="AA37" s="326">
        <v>2</v>
      </c>
      <c r="AB37" s="326">
        <f t="shared" si="17"/>
        <v>6311</v>
      </c>
      <c r="AC37" s="326">
        <v>6313</v>
      </c>
      <c r="AD37" s="326">
        <v>5486</v>
      </c>
      <c r="AE37" s="326">
        <v>4</v>
      </c>
      <c r="AF37" s="326">
        <f>IF((AD37+AE37&gt;0),AD37+AE37,"")</f>
        <v>5490</v>
      </c>
      <c r="AG37" s="326">
        <v>819</v>
      </c>
      <c r="AH37" s="326">
        <v>2</v>
      </c>
      <c r="AI37" s="326">
        <f>IF((AG37+AH37&gt;0),AG37+AH37,"")</f>
        <v>821</v>
      </c>
      <c r="AK37" s="326">
        <v>2</v>
      </c>
      <c r="AL37" s="326">
        <f t="shared" si="18"/>
        <v>27</v>
      </c>
      <c r="AM37" s="326">
        <v>29</v>
      </c>
      <c r="AN37" s="326">
        <v>21</v>
      </c>
      <c r="AO37" s="326">
        <v>1</v>
      </c>
      <c r="AP37" s="326">
        <f>AN37+AO37</f>
        <v>22</v>
      </c>
      <c r="AQ37" s="326">
        <v>5</v>
      </c>
      <c r="AR37" s="326">
        <v>0</v>
      </c>
      <c r="AS37" s="326">
        <f>AQ37+AR37</f>
        <v>5</v>
      </c>
      <c r="AU37" s="327">
        <f t="shared" ref="AU37:AU68" si="30">IF(ISNUMBER((SUM(AN37,AQ37)/SUM(AD37,AG37))*100),(SUM(AN37,AQ37)/SUM(AD37,AG37))*100,"")</f>
        <v>0.41237113402061859</v>
      </c>
      <c r="AV37" s="327">
        <f t="shared" ref="AV37:AV68" si="31">IF(ISNUMBER((SUM(AO37,AR37)/SUM(AE37,AH37))*100),(SUM(AO37,AR37)/SUM(AE37,AH37))*100,"")</f>
        <v>16.666666666666664</v>
      </c>
      <c r="AW37" s="327">
        <f t="shared" ref="AW37:AW68" si="32">IF(ISNUMBER((SUM(AP37,AS37)/SUM(AF37,AI37))*100),(SUM(AP37,AS37)/SUM(AF37,AI37))*100,"")</f>
        <v>0.42782443352875932</v>
      </c>
      <c r="AY37" s="328" t="s">
        <v>133</v>
      </c>
      <c r="DZ37"/>
      <c r="EA37"/>
    </row>
    <row r="38" spans="1:131" ht="14.25" customHeight="1">
      <c r="A38" s="24">
        <v>34</v>
      </c>
      <c r="B38" s="166" t="s">
        <v>46</v>
      </c>
      <c r="C38" s="93" t="s">
        <v>134</v>
      </c>
      <c r="D38" s="107">
        <v>25</v>
      </c>
      <c r="E38" s="38">
        <v>1.5</v>
      </c>
      <c r="F38" s="108">
        <v>400</v>
      </c>
      <c r="G38" s="109">
        <v>0</v>
      </c>
      <c r="H38" s="64">
        <v>0</v>
      </c>
      <c r="I38" s="64">
        <v>0</v>
      </c>
      <c r="J38" s="31" t="str">
        <f t="shared" si="27"/>
        <v/>
      </c>
      <c r="K38" s="31" t="str">
        <f>IF(ISNUMBER(AO38/AE38*100),ROUND(AO38/AE38*100,0),"")</f>
        <v/>
      </c>
      <c r="L38" s="31" t="str">
        <f t="shared" si="28"/>
        <v/>
      </c>
      <c r="M38" s="31">
        <f t="shared" si="29"/>
        <v>0</v>
      </c>
      <c r="N38" s="31">
        <f t="shared" si="25"/>
        <v>0</v>
      </c>
      <c r="O38" s="31">
        <f t="shared" si="23"/>
        <v>0</v>
      </c>
      <c r="P38" s="31">
        <f t="shared" si="24"/>
        <v>0</v>
      </c>
      <c r="Q38" s="31">
        <f t="shared" ref="Q38:Q62" si="33">IF(ISNUMBER(AV38),ROUND(AV38,0),"")</f>
        <v>0</v>
      </c>
      <c r="R38" s="31">
        <f t="shared" si="16"/>
        <v>0</v>
      </c>
      <c r="S38" s="78" t="s">
        <v>75</v>
      </c>
      <c r="T38" s="104" t="s">
        <v>94</v>
      </c>
      <c r="U38" s="111" t="s">
        <v>85</v>
      </c>
      <c r="V38" s="104" t="s">
        <v>76</v>
      </c>
      <c r="W38" s="112"/>
      <c r="X38" s="4"/>
      <c r="Y38" s="113" t="s">
        <v>134</v>
      </c>
      <c r="AA38" s="326">
        <v>99</v>
      </c>
      <c r="AB38" s="326">
        <f t="shared" si="17"/>
        <v>133</v>
      </c>
      <c r="AC38" s="326">
        <v>232</v>
      </c>
      <c r="AD38" s="326"/>
      <c r="AE38" s="326"/>
      <c r="AF38" s="326"/>
      <c r="AG38" s="326">
        <f>36+2+1</f>
        <v>39</v>
      </c>
      <c r="AH38" s="326">
        <v>93</v>
      </c>
      <c r="AI38" s="326">
        <f>IF((AG38+AH38&gt;0),AG38+AH38,"")</f>
        <v>132</v>
      </c>
      <c r="AK38" s="326">
        <v>0</v>
      </c>
      <c r="AL38" s="326">
        <f t="shared" si="18"/>
        <v>0</v>
      </c>
      <c r="AM38" s="326">
        <v>0</v>
      </c>
      <c r="AN38" s="326"/>
      <c r="AO38" s="326"/>
      <c r="AP38" s="326"/>
      <c r="AQ38" s="326">
        <v>0</v>
      </c>
      <c r="AR38" s="326">
        <v>0</v>
      </c>
      <c r="AS38" s="326">
        <f>AQ38+AR38</f>
        <v>0</v>
      </c>
      <c r="AU38" s="327">
        <f t="shared" si="30"/>
        <v>0</v>
      </c>
      <c r="AV38" s="327">
        <f t="shared" si="31"/>
        <v>0</v>
      </c>
      <c r="AW38" s="327">
        <f t="shared" si="32"/>
        <v>0</v>
      </c>
      <c r="AY38" s="328" t="s">
        <v>127</v>
      </c>
      <c r="DZ38"/>
      <c r="EA38"/>
    </row>
    <row r="39" spans="1:131" ht="14.25" customHeight="1">
      <c r="A39" s="24">
        <v>35</v>
      </c>
      <c r="B39" s="166" t="s">
        <v>46</v>
      </c>
      <c r="C39" s="93" t="s">
        <v>221</v>
      </c>
      <c r="D39" s="107">
        <v>25</v>
      </c>
      <c r="E39" s="38">
        <v>0.15</v>
      </c>
      <c r="F39" s="108">
        <v>1000</v>
      </c>
      <c r="G39" s="103"/>
      <c r="H39" s="47">
        <v>6</v>
      </c>
      <c r="I39" s="47">
        <v>6</v>
      </c>
      <c r="J39" s="31">
        <f t="shared" si="27"/>
        <v>4</v>
      </c>
      <c r="K39" s="31"/>
      <c r="L39" s="31">
        <f t="shared" si="28"/>
        <v>4</v>
      </c>
      <c r="M39" s="31">
        <f t="shared" si="29"/>
        <v>7</v>
      </c>
      <c r="N39" s="357">
        <f t="shared" si="25"/>
        <v>82</v>
      </c>
      <c r="O39" s="31">
        <f t="shared" si="23"/>
        <v>9</v>
      </c>
      <c r="P39" s="31">
        <f t="shared" si="24"/>
        <v>5</v>
      </c>
      <c r="Q39" s="31">
        <f t="shared" si="33"/>
        <v>70</v>
      </c>
      <c r="R39" s="31">
        <f t="shared" si="16"/>
        <v>6</v>
      </c>
      <c r="S39" s="78" t="s">
        <v>94</v>
      </c>
      <c r="T39" s="104"/>
      <c r="U39" s="62"/>
      <c r="V39" s="104"/>
      <c r="W39" s="62" t="s">
        <v>94</v>
      </c>
      <c r="X39" s="4"/>
      <c r="Y39" s="113" t="s">
        <v>135</v>
      </c>
      <c r="AA39" s="326">
        <v>2</v>
      </c>
      <c r="AB39" s="326">
        <f t="shared" si="17"/>
        <v>1830</v>
      </c>
      <c r="AC39" s="326">
        <v>1832</v>
      </c>
      <c r="AD39" s="326">
        <v>1117</v>
      </c>
      <c r="AE39" s="326">
        <v>6</v>
      </c>
      <c r="AF39" s="326">
        <f>IF((AD39+AE39&gt;0),AD39+AE39,"")</f>
        <v>1123</v>
      </c>
      <c r="AG39" s="326">
        <v>689</v>
      </c>
      <c r="AH39" s="326">
        <v>17</v>
      </c>
      <c r="AI39" s="326">
        <f>IF((AG39+AH39&gt;0),AG39+AH39,"")</f>
        <v>706</v>
      </c>
      <c r="AK39" s="326">
        <v>1</v>
      </c>
      <c r="AL39" s="326">
        <f t="shared" si="18"/>
        <v>111</v>
      </c>
      <c r="AM39" s="326">
        <v>112</v>
      </c>
      <c r="AN39" s="326">
        <v>43</v>
      </c>
      <c r="AO39" s="326">
        <v>2</v>
      </c>
      <c r="AP39" s="326">
        <f>AN39+AO39</f>
        <v>45</v>
      </c>
      <c r="AQ39" s="326">
        <v>51</v>
      </c>
      <c r="AR39" s="326">
        <v>14</v>
      </c>
      <c r="AS39" s="326">
        <f>AQ39+AR39</f>
        <v>65</v>
      </c>
      <c r="AU39" s="327">
        <f t="shared" si="30"/>
        <v>5.2048726467331123</v>
      </c>
      <c r="AV39" s="327">
        <f t="shared" si="31"/>
        <v>69.565217391304344</v>
      </c>
      <c r="AW39" s="327">
        <f t="shared" si="32"/>
        <v>6.0142154182613448</v>
      </c>
      <c r="AY39" s="328" t="s">
        <v>133</v>
      </c>
      <c r="DZ39"/>
      <c r="EA39"/>
    </row>
    <row r="40" spans="1:131" ht="14.25" customHeight="1">
      <c r="A40" s="24">
        <v>36</v>
      </c>
      <c r="B40" s="166" t="s">
        <v>46</v>
      </c>
      <c r="C40" s="93" t="s">
        <v>128</v>
      </c>
      <c r="D40" s="107">
        <v>85</v>
      </c>
      <c r="E40" s="38"/>
      <c r="F40" s="108">
        <v>416</v>
      </c>
      <c r="G40" s="103"/>
      <c r="H40" s="47">
        <v>7</v>
      </c>
      <c r="I40" s="47">
        <v>7</v>
      </c>
      <c r="J40" s="31">
        <f t="shared" si="27"/>
        <v>4</v>
      </c>
      <c r="K40" s="31"/>
      <c r="L40" s="31">
        <f t="shared" si="28"/>
        <v>4</v>
      </c>
      <c r="M40" s="31">
        <f t="shared" si="29"/>
        <v>16</v>
      </c>
      <c r="N40" s="30">
        <f t="shared" si="25"/>
        <v>43</v>
      </c>
      <c r="O40" s="31">
        <f t="shared" si="23"/>
        <v>19</v>
      </c>
      <c r="P40" s="31">
        <f t="shared" si="24"/>
        <v>6</v>
      </c>
      <c r="Q40" s="31">
        <f t="shared" si="33"/>
        <v>41</v>
      </c>
      <c r="R40" s="31">
        <f t="shared" si="16"/>
        <v>7</v>
      </c>
      <c r="S40" s="78" t="s">
        <v>94</v>
      </c>
      <c r="T40" s="104"/>
      <c r="U40" s="62"/>
      <c r="V40" s="104"/>
      <c r="W40" s="62" t="s">
        <v>85</v>
      </c>
      <c r="X40" s="4"/>
      <c r="Y40" s="43" t="s">
        <v>136</v>
      </c>
      <c r="AA40" s="326">
        <v>1</v>
      </c>
      <c r="AB40" s="326">
        <f t="shared" si="17"/>
        <v>4910</v>
      </c>
      <c r="AC40" s="326">
        <v>4911</v>
      </c>
      <c r="AD40" s="326">
        <v>3883</v>
      </c>
      <c r="AE40" s="326">
        <v>9</v>
      </c>
      <c r="AF40" s="326">
        <f>IF((AD40+AE40&gt;0),AD40+AE40,"")</f>
        <v>3892</v>
      </c>
      <c r="AG40" s="326">
        <v>931</v>
      </c>
      <c r="AH40" s="326">
        <v>84</v>
      </c>
      <c r="AI40" s="326">
        <f>IF((AG40+AH40&gt;0),AG40+AH40,"")</f>
        <v>1015</v>
      </c>
      <c r="AK40" s="326">
        <v>1</v>
      </c>
      <c r="AL40" s="326">
        <f t="shared" si="18"/>
        <v>333</v>
      </c>
      <c r="AM40" s="326">
        <v>334</v>
      </c>
      <c r="AN40" s="326">
        <v>141</v>
      </c>
      <c r="AO40" s="326">
        <v>2</v>
      </c>
      <c r="AP40" s="326">
        <f>AN40+AO40</f>
        <v>143</v>
      </c>
      <c r="AQ40" s="326">
        <v>153</v>
      </c>
      <c r="AR40" s="326">
        <v>36</v>
      </c>
      <c r="AS40" s="326">
        <f>AQ40+AR40</f>
        <v>189</v>
      </c>
      <c r="AU40" s="327">
        <f t="shared" si="30"/>
        <v>6.1071873701703367</v>
      </c>
      <c r="AV40" s="327">
        <f t="shared" si="31"/>
        <v>40.86021505376344</v>
      </c>
      <c r="AW40" s="327">
        <f t="shared" si="32"/>
        <v>6.7658447116364373</v>
      </c>
      <c r="AY40" s="328" t="s">
        <v>133</v>
      </c>
      <c r="DZ40"/>
      <c r="EA40"/>
    </row>
    <row r="41" spans="1:131" ht="14.25" customHeight="1">
      <c r="A41" s="24">
        <v>37</v>
      </c>
      <c r="B41" s="166" t="s">
        <v>46</v>
      </c>
      <c r="C41" s="93" t="s">
        <v>128</v>
      </c>
      <c r="D41" s="107">
        <v>170</v>
      </c>
      <c r="E41" s="38">
        <v>1.52</v>
      </c>
      <c r="F41" s="108"/>
      <c r="G41" s="105">
        <v>0</v>
      </c>
      <c r="H41" s="47">
        <v>1</v>
      </c>
      <c r="I41" s="47">
        <v>1</v>
      </c>
      <c r="J41" s="31">
        <f t="shared" si="27"/>
        <v>0</v>
      </c>
      <c r="K41" s="31">
        <f t="shared" ref="K41:K62" si="34">IF(ISNUMBER(AO41/AE41*100),ROUND(AO41/AE41*100,0),"")</f>
        <v>0</v>
      </c>
      <c r="L41" s="31">
        <f t="shared" si="28"/>
        <v>0</v>
      </c>
      <c r="M41" s="31">
        <f t="shared" si="29"/>
        <v>1</v>
      </c>
      <c r="N41" s="357">
        <f t="shared" si="25"/>
        <v>0</v>
      </c>
      <c r="O41" s="31">
        <f t="shared" si="23"/>
        <v>1</v>
      </c>
      <c r="P41" s="31">
        <f t="shared" si="24"/>
        <v>1</v>
      </c>
      <c r="Q41" s="31">
        <f t="shared" si="33"/>
        <v>0</v>
      </c>
      <c r="R41" s="31">
        <f t="shared" si="16"/>
        <v>1</v>
      </c>
      <c r="S41" s="78" t="s">
        <v>75</v>
      </c>
      <c r="T41" s="104" t="s">
        <v>77</v>
      </c>
      <c r="U41" s="111" t="s">
        <v>85</v>
      </c>
      <c r="V41" s="104" t="s">
        <v>75</v>
      </c>
      <c r="W41" s="62" t="s">
        <v>85</v>
      </c>
      <c r="X41" s="4"/>
      <c r="Y41" s="43" t="s">
        <v>137</v>
      </c>
      <c r="AA41" s="326">
        <v>34</v>
      </c>
      <c r="AB41" s="326">
        <f t="shared" si="17"/>
        <v>16477</v>
      </c>
      <c r="AC41" s="326">
        <v>16511</v>
      </c>
      <c r="AD41" s="326">
        <v>3987</v>
      </c>
      <c r="AE41" s="326">
        <v>20</v>
      </c>
      <c r="AF41" s="326">
        <f>IF((AD41+AE41&gt;0),AD41+AE41,"")</f>
        <v>4007</v>
      </c>
      <c r="AG41" s="326">
        <v>12419</v>
      </c>
      <c r="AH41" s="326">
        <v>10</v>
      </c>
      <c r="AI41" s="326">
        <f>IF((AG41+AH41&gt;0),AG41+AH41,"")</f>
        <v>12429</v>
      </c>
      <c r="AK41" s="326">
        <v>0</v>
      </c>
      <c r="AL41" s="326">
        <f t="shared" si="18"/>
        <v>108</v>
      </c>
      <c r="AM41" s="326">
        <v>108</v>
      </c>
      <c r="AN41" s="326">
        <v>13</v>
      </c>
      <c r="AO41" s="326">
        <v>0</v>
      </c>
      <c r="AP41" s="326">
        <f>AN41+AO41</f>
        <v>13</v>
      </c>
      <c r="AQ41" s="326">
        <v>95</v>
      </c>
      <c r="AR41" s="326">
        <v>0</v>
      </c>
      <c r="AS41" s="326">
        <f>AQ41+AR41</f>
        <v>95</v>
      </c>
      <c r="AU41" s="327">
        <f t="shared" si="30"/>
        <v>0.65829574545897851</v>
      </c>
      <c r="AV41" s="327">
        <f t="shared" si="31"/>
        <v>0</v>
      </c>
      <c r="AW41" s="327">
        <f t="shared" si="32"/>
        <v>0.65709418349963489</v>
      </c>
      <c r="AY41" s="328" t="s">
        <v>133</v>
      </c>
      <c r="DZ41"/>
      <c r="EA41"/>
    </row>
    <row r="42" spans="1:131" ht="14.25" customHeight="1">
      <c r="A42" s="24">
        <v>38</v>
      </c>
      <c r="B42" s="166" t="s">
        <v>46</v>
      </c>
      <c r="C42" s="114" t="s">
        <v>128</v>
      </c>
      <c r="D42" s="115">
        <v>240</v>
      </c>
      <c r="E42" s="38">
        <v>4</v>
      </c>
      <c r="F42" s="108">
        <v>158</v>
      </c>
      <c r="G42" s="103"/>
      <c r="H42" s="47">
        <v>2</v>
      </c>
      <c r="I42" s="47">
        <v>2</v>
      </c>
      <c r="J42" s="31" t="str">
        <f t="shared" si="27"/>
        <v/>
      </c>
      <c r="K42" s="31" t="str">
        <f t="shared" si="34"/>
        <v/>
      </c>
      <c r="L42" s="31" t="str">
        <f t="shared" si="28"/>
        <v/>
      </c>
      <c r="M42" s="31" t="str">
        <f t="shared" si="29"/>
        <v/>
      </c>
      <c r="N42" s="31" t="str">
        <f t="shared" si="25"/>
        <v/>
      </c>
      <c r="O42" s="31" t="str">
        <f t="shared" si="23"/>
        <v/>
      </c>
      <c r="P42" s="31" t="str">
        <f t="shared" si="24"/>
        <v/>
      </c>
      <c r="Q42" s="31" t="str">
        <f t="shared" si="33"/>
        <v/>
      </c>
      <c r="R42" s="31" t="str">
        <f t="shared" si="16"/>
        <v/>
      </c>
      <c r="S42" s="78"/>
      <c r="T42" s="104"/>
      <c r="U42" s="62"/>
      <c r="V42" s="104"/>
      <c r="W42" s="62"/>
      <c r="X42" s="4"/>
      <c r="Y42" s="56" t="s">
        <v>138</v>
      </c>
      <c r="AA42" s="326"/>
      <c r="AB42" s="326">
        <f t="shared" si="17"/>
        <v>0</v>
      </c>
      <c r="AC42" s="326"/>
      <c r="AD42" s="326"/>
      <c r="AE42" s="326"/>
      <c r="AF42" s="326">
        <f>SUM(AE42:AE42)</f>
        <v>0</v>
      </c>
      <c r="AG42" s="326"/>
      <c r="AH42" s="326"/>
      <c r="AI42" s="326">
        <f>SUM(AH42:AH42)</f>
        <v>0</v>
      </c>
      <c r="AK42" s="326"/>
      <c r="AL42" s="326">
        <f t="shared" si="18"/>
        <v>0</v>
      </c>
      <c r="AM42" s="326"/>
      <c r="AN42" s="326"/>
      <c r="AO42" s="326"/>
      <c r="AP42" s="326">
        <v>0</v>
      </c>
      <c r="AQ42" s="326"/>
      <c r="AR42" s="326"/>
      <c r="AS42" s="326">
        <v>0</v>
      </c>
      <c r="AU42" s="327" t="str">
        <f t="shared" si="30"/>
        <v/>
      </c>
      <c r="AV42" s="327" t="str">
        <f t="shared" si="31"/>
        <v/>
      </c>
      <c r="AW42" s="327" t="str">
        <f t="shared" si="32"/>
        <v/>
      </c>
      <c r="AY42" s="328" t="s">
        <v>139</v>
      </c>
      <c r="DZ42"/>
      <c r="EA42"/>
    </row>
    <row r="43" spans="1:131" ht="14.25" customHeight="1">
      <c r="A43" s="24">
        <v>39</v>
      </c>
      <c r="B43" s="166" t="s">
        <v>46</v>
      </c>
      <c r="C43" s="114" t="s">
        <v>128</v>
      </c>
      <c r="D43" s="115">
        <v>250</v>
      </c>
      <c r="E43" s="38" t="s">
        <v>140</v>
      </c>
      <c r="F43" s="108">
        <v>165</v>
      </c>
      <c r="G43" s="103"/>
      <c r="H43" s="31">
        <f>IF(ISNUMBER(AL43/AB43*100),ROUND(AL43/AB43*100,0),"")</f>
        <v>20</v>
      </c>
      <c r="I43" s="31">
        <f>IF(ISNUMBER(AM43/AC43*100),ROUND(AM43/AC43*100,0),"")</f>
        <v>21</v>
      </c>
      <c r="J43" s="31" t="str">
        <f t="shared" si="27"/>
        <v/>
      </c>
      <c r="K43" s="31" t="str">
        <f t="shared" si="34"/>
        <v/>
      </c>
      <c r="L43" s="31">
        <f t="shared" si="28"/>
        <v>7</v>
      </c>
      <c r="M43" s="31" t="str">
        <f t="shared" si="29"/>
        <v/>
      </c>
      <c r="N43" s="31" t="str">
        <f t="shared" si="25"/>
        <v/>
      </c>
      <c r="O43" s="31">
        <f t="shared" si="23"/>
        <v>22</v>
      </c>
      <c r="P43" s="31" t="str">
        <f t="shared" si="24"/>
        <v/>
      </c>
      <c r="Q43" s="31" t="str">
        <f t="shared" si="33"/>
        <v/>
      </c>
      <c r="R43" s="31">
        <f t="shared" si="16"/>
        <v>20</v>
      </c>
      <c r="S43" s="78"/>
      <c r="T43" s="104"/>
      <c r="U43" s="62"/>
      <c r="V43" s="104"/>
      <c r="W43" s="62"/>
      <c r="X43" s="4"/>
      <c r="Y43" s="56" t="s">
        <v>141</v>
      </c>
      <c r="AA43" s="326">
        <v>8</v>
      </c>
      <c r="AB43" s="326">
        <f t="shared" si="17"/>
        <v>411</v>
      </c>
      <c r="AC43" s="326">
        <v>419</v>
      </c>
      <c r="AD43" s="326"/>
      <c r="AE43" s="326"/>
      <c r="AF43" s="326">
        <f>6+23+34+4+1</f>
        <v>68</v>
      </c>
      <c r="AG43" s="326"/>
      <c r="AH43" s="326"/>
      <c r="AI43" s="326">
        <f>11+241+14+6+4+39+33+1</f>
        <v>349</v>
      </c>
      <c r="AK43" s="326">
        <v>5</v>
      </c>
      <c r="AL43" s="326">
        <f t="shared" si="18"/>
        <v>83</v>
      </c>
      <c r="AM43" s="326">
        <v>88</v>
      </c>
      <c r="AN43" s="326"/>
      <c r="AO43" s="326"/>
      <c r="AP43" s="326">
        <f>4+1</f>
        <v>5</v>
      </c>
      <c r="AQ43" s="326"/>
      <c r="AR43" s="326"/>
      <c r="AS43" s="326">
        <f>4+39+33+1</f>
        <v>77</v>
      </c>
      <c r="AU43" s="327" t="str">
        <f t="shared" si="30"/>
        <v/>
      </c>
      <c r="AV43" s="327" t="str">
        <f t="shared" si="31"/>
        <v/>
      </c>
      <c r="AW43" s="327">
        <f t="shared" si="32"/>
        <v>19.664268585131893</v>
      </c>
      <c r="AY43" s="328" t="s">
        <v>142</v>
      </c>
      <c r="DZ43"/>
      <c r="EA43"/>
    </row>
    <row r="44" spans="1:131" ht="14.25" customHeight="1">
      <c r="A44" s="24">
        <v>40</v>
      </c>
      <c r="B44" s="166" t="s">
        <v>46</v>
      </c>
      <c r="C44" s="114" t="s">
        <v>128</v>
      </c>
      <c r="D44" s="115">
        <v>266</v>
      </c>
      <c r="E44" s="38"/>
      <c r="F44" s="108">
        <v>121</v>
      </c>
      <c r="G44" s="103"/>
      <c r="H44" s="41">
        <v>19</v>
      </c>
      <c r="I44" s="41">
        <v>23</v>
      </c>
      <c r="J44" s="31" t="str">
        <f t="shared" si="27"/>
        <v/>
      </c>
      <c r="K44" s="31" t="str">
        <f t="shared" si="34"/>
        <v/>
      </c>
      <c r="L44" s="31" t="str">
        <f t="shared" si="28"/>
        <v/>
      </c>
      <c r="M44" s="31" t="str">
        <f t="shared" si="29"/>
        <v/>
      </c>
      <c r="N44" s="31" t="str">
        <f t="shared" si="25"/>
        <v/>
      </c>
      <c r="O44" s="31" t="str">
        <f t="shared" si="23"/>
        <v/>
      </c>
      <c r="P44" s="31" t="str">
        <f t="shared" si="24"/>
        <v/>
      </c>
      <c r="Q44" s="31" t="str">
        <f t="shared" si="33"/>
        <v/>
      </c>
      <c r="R44" s="31" t="str">
        <f t="shared" si="16"/>
        <v/>
      </c>
      <c r="S44" s="78"/>
      <c r="T44" s="104"/>
      <c r="U44" s="62"/>
      <c r="V44" s="104"/>
      <c r="W44" s="62"/>
      <c r="X44" s="4"/>
      <c r="Y44" s="56" t="s">
        <v>143</v>
      </c>
      <c r="AA44" s="326"/>
      <c r="AB44" s="326"/>
      <c r="AC44" s="326"/>
      <c r="AD44" s="326"/>
      <c r="AE44" s="326"/>
      <c r="AF44" s="326"/>
      <c r="AG44" s="326"/>
      <c r="AH44" s="326"/>
      <c r="AI44" s="326"/>
      <c r="AK44" s="326"/>
      <c r="AL44" s="326"/>
      <c r="AM44" s="326"/>
      <c r="AN44" s="326"/>
      <c r="AO44" s="326"/>
      <c r="AP44" s="326"/>
      <c r="AQ44" s="326"/>
      <c r="AR44" s="326"/>
      <c r="AS44" s="326"/>
      <c r="AU44" s="327" t="str">
        <f t="shared" si="30"/>
        <v/>
      </c>
      <c r="AV44" s="327" t="str">
        <f t="shared" si="31"/>
        <v/>
      </c>
      <c r="AW44" s="327" t="str">
        <f t="shared" si="32"/>
        <v/>
      </c>
      <c r="AY44" s="328" t="s">
        <v>144</v>
      </c>
      <c r="DZ44"/>
      <c r="EA44"/>
    </row>
    <row r="45" spans="1:131" ht="14.25" customHeight="1">
      <c r="A45" s="24">
        <v>41</v>
      </c>
      <c r="B45" s="166" t="s">
        <v>46</v>
      </c>
      <c r="C45" s="116" t="s">
        <v>128</v>
      </c>
      <c r="D45" s="107">
        <v>271</v>
      </c>
      <c r="E45" s="38" t="s">
        <v>145</v>
      </c>
      <c r="F45" s="108">
        <v>365</v>
      </c>
      <c r="G45" s="103"/>
      <c r="H45" s="47">
        <v>7</v>
      </c>
      <c r="I45" s="47">
        <v>7</v>
      </c>
      <c r="J45" s="31" t="str">
        <f t="shared" si="27"/>
        <v/>
      </c>
      <c r="K45" s="31" t="str">
        <f t="shared" si="34"/>
        <v/>
      </c>
      <c r="L45" s="357">
        <f t="shared" si="28"/>
        <v>0</v>
      </c>
      <c r="M45" s="31" t="str">
        <f t="shared" si="29"/>
        <v/>
      </c>
      <c r="N45" s="31" t="str">
        <f t="shared" si="25"/>
        <v/>
      </c>
      <c r="O45" s="357">
        <f t="shared" si="23"/>
        <v>10</v>
      </c>
      <c r="P45" s="31" t="str">
        <f t="shared" si="24"/>
        <v/>
      </c>
      <c r="Q45" s="31" t="str">
        <f t="shared" si="33"/>
        <v/>
      </c>
      <c r="R45" s="31">
        <f t="shared" si="16"/>
        <v>7</v>
      </c>
      <c r="S45" s="78"/>
      <c r="T45" s="104"/>
      <c r="U45" s="62"/>
      <c r="V45" s="104"/>
      <c r="W45" s="62"/>
      <c r="X45" s="4"/>
      <c r="Y45" s="43" t="s">
        <v>146</v>
      </c>
      <c r="AA45" s="326"/>
      <c r="AB45" s="326">
        <f t="shared" si="17"/>
        <v>27</v>
      </c>
      <c r="AC45" s="326">
        <v>27</v>
      </c>
      <c r="AD45" s="326"/>
      <c r="AE45" s="326"/>
      <c r="AF45" s="326">
        <v>6</v>
      </c>
      <c r="AG45" s="326"/>
      <c r="AH45" s="326"/>
      <c r="AI45" s="326">
        <f>4+12+2+1+1+1</f>
        <v>21</v>
      </c>
      <c r="AK45" s="326"/>
      <c r="AL45" s="326">
        <f t="shared" si="18"/>
        <v>2</v>
      </c>
      <c r="AM45" s="326">
        <v>2</v>
      </c>
      <c r="AN45" s="326"/>
      <c r="AO45" s="326"/>
      <c r="AP45" s="326">
        <v>0</v>
      </c>
      <c r="AQ45" s="326"/>
      <c r="AR45" s="326"/>
      <c r="AS45" s="326">
        <v>2</v>
      </c>
      <c r="AU45" s="327" t="str">
        <f t="shared" si="30"/>
        <v/>
      </c>
      <c r="AV45" s="327" t="str">
        <f t="shared" si="31"/>
        <v/>
      </c>
      <c r="AW45" s="327">
        <f t="shared" si="32"/>
        <v>7.4074074074074066</v>
      </c>
      <c r="AY45" s="328" t="s">
        <v>142</v>
      </c>
      <c r="DZ45"/>
      <c r="EA45"/>
    </row>
    <row r="46" spans="1:131" ht="14.25" customHeight="1">
      <c r="A46" s="24">
        <v>42</v>
      </c>
      <c r="B46" s="166" t="s">
        <v>46</v>
      </c>
      <c r="C46" s="93" t="s">
        <v>128</v>
      </c>
      <c r="D46" s="107">
        <v>350</v>
      </c>
      <c r="E46" s="38">
        <v>2.8</v>
      </c>
      <c r="F46" s="108">
        <v>115</v>
      </c>
      <c r="G46" s="117">
        <v>22</v>
      </c>
      <c r="H46" s="47">
        <v>4</v>
      </c>
      <c r="I46" s="47">
        <v>4</v>
      </c>
      <c r="J46" s="31">
        <f t="shared" si="27"/>
        <v>3</v>
      </c>
      <c r="K46" s="31">
        <f t="shared" si="34"/>
        <v>8</v>
      </c>
      <c r="L46" s="31">
        <f t="shared" si="28"/>
        <v>4</v>
      </c>
      <c r="M46" s="31">
        <f t="shared" si="29"/>
        <v>4</v>
      </c>
      <c r="N46" s="31"/>
      <c r="O46" s="31">
        <f t="shared" si="23"/>
        <v>5</v>
      </c>
      <c r="P46" s="31">
        <f t="shared" si="24"/>
        <v>3</v>
      </c>
      <c r="Q46" s="31">
        <f t="shared" si="33"/>
        <v>10</v>
      </c>
      <c r="R46" s="31">
        <f t="shared" si="16"/>
        <v>4</v>
      </c>
      <c r="S46" s="78" t="s">
        <v>75</v>
      </c>
      <c r="T46" s="104" t="s">
        <v>77</v>
      </c>
      <c r="U46" s="62" t="s">
        <v>94</v>
      </c>
      <c r="V46" s="104" t="s">
        <v>75</v>
      </c>
      <c r="W46" s="62" t="s">
        <v>85</v>
      </c>
      <c r="X46" s="4"/>
      <c r="Y46" s="43" t="s">
        <v>147</v>
      </c>
      <c r="AA46" s="326">
        <v>27</v>
      </c>
      <c r="AB46" s="326">
        <f t="shared" si="17"/>
        <v>3917</v>
      </c>
      <c r="AC46" s="326">
        <v>3944</v>
      </c>
      <c r="AD46" s="326">
        <v>3466</v>
      </c>
      <c r="AE46" s="326">
        <v>90</v>
      </c>
      <c r="AF46" s="326">
        <f>IF((AD46+AE46&gt;0),AD46+AE46,"")</f>
        <v>3556</v>
      </c>
      <c r="AG46" s="326">
        <v>337</v>
      </c>
      <c r="AH46" s="326">
        <v>8</v>
      </c>
      <c r="AI46" s="326">
        <f>IF((AG46+AH46&gt;0),AG46+AH46,"")</f>
        <v>345</v>
      </c>
      <c r="AK46" s="326">
        <v>6</v>
      </c>
      <c r="AL46" s="326">
        <f t="shared" si="18"/>
        <v>141</v>
      </c>
      <c r="AM46" s="326">
        <v>147</v>
      </c>
      <c r="AN46" s="326">
        <v>118</v>
      </c>
      <c r="AO46" s="326">
        <v>7</v>
      </c>
      <c r="AP46" s="326">
        <f>AN46+AO46</f>
        <v>125</v>
      </c>
      <c r="AQ46" s="326">
        <v>13</v>
      </c>
      <c r="AR46" s="326">
        <v>3</v>
      </c>
      <c r="AS46" s="326">
        <f>AQ46+AR46</f>
        <v>16</v>
      </c>
      <c r="AU46" s="327">
        <f t="shared" si="30"/>
        <v>3.4446489613463056</v>
      </c>
      <c r="AV46" s="327">
        <f t="shared" si="31"/>
        <v>10.204081632653061</v>
      </c>
      <c r="AW46" s="327">
        <f t="shared" si="32"/>
        <v>3.6144578313253009</v>
      </c>
      <c r="AY46" s="328" t="s">
        <v>133</v>
      </c>
      <c r="DZ46"/>
      <c r="EA46"/>
    </row>
    <row r="47" spans="1:131" ht="14.25" customHeight="1">
      <c r="A47" s="24">
        <v>43</v>
      </c>
      <c r="B47" s="166" t="s">
        <v>46</v>
      </c>
      <c r="C47" s="93" t="s">
        <v>50</v>
      </c>
      <c r="D47" s="101">
        <v>505</v>
      </c>
      <c r="E47" s="51" t="s">
        <v>216</v>
      </c>
      <c r="F47" s="108">
        <v>143</v>
      </c>
      <c r="G47" s="105">
        <v>0</v>
      </c>
      <c r="H47" s="47">
        <v>0</v>
      </c>
      <c r="I47" s="47">
        <v>0</v>
      </c>
      <c r="J47" s="31">
        <f t="shared" si="27"/>
        <v>0</v>
      </c>
      <c r="K47" s="31" t="str">
        <f t="shared" si="34"/>
        <v/>
      </c>
      <c r="L47" s="31">
        <f t="shared" si="28"/>
        <v>0</v>
      </c>
      <c r="M47" s="31">
        <f t="shared" si="29"/>
        <v>0</v>
      </c>
      <c r="N47" s="31" t="str">
        <f t="shared" ref="N47:N62" si="35">IF(ISNUMBER(AR47/AH47*100),ROUND(AR47/AH47*100,0),"")</f>
        <v/>
      </c>
      <c r="O47" s="31">
        <f t="shared" si="23"/>
        <v>0</v>
      </c>
      <c r="P47" s="31">
        <f t="shared" si="24"/>
        <v>0</v>
      </c>
      <c r="Q47" s="31" t="str">
        <f t="shared" si="33"/>
        <v/>
      </c>
      <c r="R47" s="31">
        <f t="shared" si="16"/>
        <v>0</v>
      </c>
      <c r="S47" s="78"/>
      <c r="T47" s="104"/>
      <c r="U47" s="62"/>
      <c r="V47" s="104"/>
      <c r="W47" s="62"/>
      <c r="X47" s="4"/>
      <c r="Y47" s="54" t="s">
        <v>148</v>
      </c>
      <c r="AA47" s="326">
        <v>36</v>
      </c>
      <c r="AB47" s="326">
        <f t="shared" si="17"/>
        <v>17</v>
      </c>
      <c r="AC47" s="326">
        <v>53</v>
      </c>
      <c r="AD47" s="326">
        <v>3</v>
      </c>
      <c r="AE47" s="326"/>
      <c r="AF47" s="326">
        <f>IF((AD47+AE47&gt;0),AD47+AE47,"")</f>
        <v>3</v>
      </c>
      <c r="AG47" s="326">
        <f>9+1+1+1+2</f>
        <v>14</v>
      </c>
      <c r="AH47" s="326"/>
      <c r="AI47" s="326">
        <f>IF((AG47+AH47&gt;0),AG47+AH47,"")</f>
        <v>14</v>
      </c>
      <c r="AK47" s="326">
        <v>0</v>
      </c>
      <c r="AL47" s="326">
        <f t="shared" si="18"/>
        <v>0</v>
      </c>
      <c r="AM47" s="326">
        <v>0</v>
      </c>
      <c r="AN47" s="326">
        <v>0</v>
      </c>
      <c r="AO47" s="326"/>
      <c r="AP47" s="326">
        <f>SUM(AO47:AO47)</f>
        <v>0</v>
      </c>
      <c r="AQ47" s="326">
        <v>0</v>
      </c>
      <c r="AR47" s="326"/>
      <c r="AS47" s="326">
        <f>AQ47+AR47</f>
        <v>0</v>
      </c>
      <c r="AU47" s="327">
        <f>IF(ISNUMBER((SUM(AN47,AQ47)/SUM(AD47,AG47))*100),(SUM(AN47,AQ47)/SUM(AD47,AG47))*100,"")</f>
        <v>0</v>
      </c>
      <c r="AV47" s="327" t="str">
        <f t="shared" si="31"/>
        <v/>
      </c>
      <c r="AW47" s="327">
        <f t="shared" si="32"/>
        <v>0</v>
      </c>
      <c r="AY47" s="328" t="s">
        <v>149</v>
      </c>
      <c r="DZ47"/>
      <c r="EA47"/>
    </row>
    <row r="48" spans="1:131" ht="14.25" customHeight="1">
      <c r="A48" s="24">
        <v>44</v>
      </c>
      <c r="B48" s="166" t="s">
        <v>46</v>
      </c>
      <c r="C48" s="93" t="s">
        <v>50</v>
      </c>
      <c r="D48" s="101">
        <v>505</v>
      </c>
      <c r="E48" s="51" t="s">
        <v>216</v>
      </c>
      <c r="F48" s="108">
        <v>143</v>
      </c>
      <c r="G48" s="103"/>
      <c r="H48" s="48"/>
      <c r="I48" s="48"/>
      <c r="J48" s="31" t="str">
        <f t="shared" si="27"/>
        <v/>
      </c>
      <c r="K48" s="31" t="str">
        <f t="shared" si="34"/>
        <v/>
      </c>
      <c r="L48" s="31" t="str">
        <f t="shared" si="28"/>
        <v/>
      </c>
      <c r="M48" s="31" t="str">
        <f t="shared" si="29"/>
        <v/>
      </c>
      <c r="N48" s="357">
        <f t="shared" si="35"/>
        <v>19</v>
      </c>
      <c r="O48" s="357">
        <f t="shared" si="23"/>
        <v>19</v>
      </c>
      <c r="P48" s="31" t="str">
        <f t="shared" si="24"/>
        <v/>
      </c>
      <c r="Q48" s="357">
        <f t="shared" si="33"/>
        <v>19</v>
      </c>
      <c r="R48" s="357">
        <f t="shared" si="16"/>
        <v>19</v>
      </c>
      <c r="S48" s="78"/>
      <c r="T48" s="104"/>
      <c r="U48" s="62"/>
      <c r="V48" s="104"/>
      <c r="W48" s="62"/>
      <c r="X48" s="4"/>
      <c r="Y48" s="69" t="s">
        <v>150</v>
      </c>
      <c r="AA48" s="326"/>
      <c r="AB48" s="326">
        <f t="shared" si="17"/>
        <v>32</v>
      </c>
      <c r="AC48" s="326">
        <v>32</v>
      </c>
      <c r="AD48" s="326"/>
      <c r="AE48" s="326"/>
      <c r="AF48" s="326"/>
      <c r="AG48" s="326"/>
      <c r="AH48" s="326">
        <v>32</v>
      </c>
      <c r="AI48" s="326">
        <f>IF((AG48+AH48&gt;0),AG48+AH48,"")</f>
        <v>32</v>
      </c>
      <c r="AK48" s="326"/>
      <c r="AL48" s="326">
        <f t="shared" si="18"/>
        <v>6</v>
      </c>
      <c r="AM48" s="326">
        <v>6</v>
      </c>
      <c r="AN48" s="326"/>
      <c r="AO48" s="326"/>
      <c r="AP48" s="326"/>
      <c r="AQ48" s="326"/>
      <c r="AR48" s="326">
        <v>6</v>
      </c>
      <c r="AS48" s="326">
        <v>6</v>
      </c>
      <c r="AU48" s="327" t="str">
        <f t="shared" si="30"/>
        <v/>
      </c>
      <c r="AV48" s="327">
        <f t="shared" si="31"/>
        <v>18.75</v>
      </c>
      <c r="AW48" s="327">
        <f t="shared" si="32"/>
        <v>18.75</v>
      </c>
      <c r="AY48" s="328" t="s">
        <v>149</v>
      </c>
      <c r="DZ48"/>
      <c r="EA48"/>
    </row>
    <row r="49" spans="1:131" ht="14.25" customHeight="1">
      <c r="A49" s="24">
        <v>45</v>
      </c>
      <c r="B49" s="166" t="s">
        <v>46</v>
      </c>
      <c r="C49" s="116" t="s">
        <v>50</v>
      </c>
      <c r="D49" s="101">
        <v>525</v>
      </c>
      <c r="E49" s="51">
        <v>5.4</v>
      </c>
      <c r="F49" s="102">
        <v>200</v>
      </c>
      <c r="G49" s="31"/>
      <c r="H49" s="31">
        <f>IF(ISNUMBER(AL49/AB49*100),ROUND(AL49/AB49*100,0),"")</f>
        <v>29</v>
      </c>
      <c r="I49" s="31">
        <f>IF(ISNUMBER(AM49/AC49*100),ROUND(AM49/AC49*100,0),"")</f>
        <v>29</v>
      </c>
      <c r="J49" s="357">
        <f t="shared" si="27"/>
        <v>0</v>
      </c>
      <c r="K49" s="357">
        <f t="shared" si="34"/>
        <v>42</v>
      </c>
      <c r="L49" s="357">
        <f>IF(ISNUMBER(AP49/AF49*100),ROUND(AP49/AF49*100,0),"")</f>
        <v>14</v>
      </c>
      <c r="M49" s="31" t="str">
        <f t="shared" si="29"/>
        <v/>
      </c>
      <c r="N49" s="31" t="str">
        <f t="shared" si="35"/>
        <v/>
      </c>
      <c r="O49" s="31">
        <f>IF(ISNUMBER(AS49/AI49*100),ROUND(AS49/AI49*100,0),"")</f>
        <v>33</v>
      </c>
      <c r="P49" s="31">
        <f t="shared" si="24"/>
        <v>0</v>
      </c>
      <c r="Q49" s="31">
        <f t="shared" si="33"/>
        <v>42</v>
      </c>
      <c r="R49" s="31">
        <f t="shared" si="16"/>
        <v>29</v>
      </c>
      <c r="S49" s="81"/>
      <c r="T49" s="119"/>
      <c r="U49" s="118"/>
      <c r="V49" s="119"/>
      <c r="W49" s="118"/>
      <c r="X49" s="4"/>
      <c r="Y49" s="54" t="s">
        <v>151</v>
      </c>
      <c r="AA49" s="326">
        <v>6</v>
      </c>
      <c r="AB49" s="326">
        <f t="shared" si="17"/>
        <v>157</v>
      </c>
      <c r="AC49" s="326">
        <v>163</v>
      </c>
      <c r="AD49" s="326">
        <v>23</v>
      </c>
      <c r="AE49" s="326">
        <v>12</v>
      </c>
      <c r="AF49" s="326">
        <f>IF((AD49+AE49&gt;0),AD49+AE49,"")</f>
        <v>35</v>
      </c>
      <c r="AG49" s="326"/>
      <c r="AH49" s="326"/>
      <c r="AI49" s="326">
        <v>122</v>
      </c>
      <c r="AK49" s="326">
        <v>2</v>
      </c>
      <c r="AL49" s="326">
        <f t="shared" si="18"/>
        <v>45</v>
      </c>
      <c r="AM49" s="326">
        <v>47</v>
      </c>
      <c r="AN49" s="326">
        <v>0</v>
      </c>
      <c r="AO49" s="326">
        <v>5</v>
      </c>
      <c r="AP49" s="326">
        <v>5</v>
      </c>
      <c r="AQ49" s="326"/>
      <c r="AR49" s="326"/>
      <c r="AS49" s="326">
        <v>40</v>
      </c>
      <c r="AU49" s="327">
        <f t="shared" si="30"/>
        <v>0</v>
      </c>
      <c r="AV49" s="327">
        <f t="shared" si="31"/>
        <v>41.666666666666671</v>
      </c>
      <c r="AW49" s="327">
        <f t="shared" si="32"/>
        <v>28.662420382165603</v>
      </c>
      <c r="AY49" s="328"/>
      <c r="DZ49"/>
      <c r="EA49"/>
    </row>
    <row r="50" spans="1:131" ht="26.25" thickBot="1">
      <c r="A50" s="24">
        <v>46</v>
      </c>
      <c r="B50" s="166" t="s">
        <v>46</v>
      </c>
      <c r="C50" s="93" t="s">
        <v>128</v>
      </c>
      <c r="D50" s="377">
        <v>600</v>
      </c>
      <c r="E50" s="378">
        <v>4.5</v>
      </c>
      <c r="F50" s="120">
        <v>133</v>
      </c>
      <c r="G50" s="121"/>
      <c r="H50" s="122"/>
      <c r="I50" s="123">
        <v>4</v>
      </c>
      <c r="J50" s="31" t="str">
        <f t="shared" si="27"/>
        <v/>
      </c>
      <c r="K50" s="31" t="str">
        <f t="shared" si="34"/>
        <v/>
      </c>
      <c r="L50" s="31" t="str">
        <f t="shared" si="28"/>
        <v/>
      </c>
      <c r="M50" s="31" t="str">
        <f t="shared" si="29"/>
        <v/>
      </c>
      <c r="N50" s="31" t="str">
        <f t="shared" si="35"/>
        <v/>
      </c>
      <c r="O50" s="31" t="str">
        <f t="shared" si="23"/>
        <v/>
      </c>
      <c r="P50" s="31" t="str">
        <f t="shared" si="24"/>
        <v/>
      </c>
      <c r="Q50" s="31" t="str">
        <f t="shared" si="33"/>
        <v/>
      </c>
      <c r="R50" s="31" t="str">
        <f t="shared" si="16"/>
        <v/>
      </c>
      <c r="S50" s="319"/>
      <c r="T50" s="125"/>
      <c r="U50" s="124"/>
      <c r="V50" s="125"/>
      <c r="W50" s="124"/>
      <c r="X50" s="4"/>
      <c r="Y50" s="126" t="s">
        <v>152</v>
      </c>
      <c r="AA50" s="326"/>
      <c r="AB50" s="326"/>
      <c r="AC50" s="326"/>
      <c r="AD50" s="326"/>
      <c r="AE50" s="326"/>
      <c r="AF50" s="326"/>
      <c r="AG50" s="326"/>
      <c r="AH50" s="326"/>
      <c r="AI50" s="326"/>
      <c r="AK50" s="326"/>
      <c r="AL50" s="326"/>
      <c r="AM50" s="326"/>
      <c r="AN50" s="326"/>
      <c r="AO50" s="326"/>
      <c r="AP50" s="326"/>
      <c r="AQ50" s="326"/>
      <c r="AR50" s="326"/>
      <c r="AS50" s="326"/>
      <c r="AU50" s="327" t="str">
        <f t="shared" si="30"/>
        <v/>
      </c>
      <c r="AV50" s="327" t="str">
        <f t="shared" si="31"/>
        <v/>
      </c>
      <c r="AW50" s="327" t="str">
        <f t="shared" si="32"/>
        <v/>
      </c>
      <c r="AY50" s="329" t="s">
        <v>120</v>
      </c>
      <c r="DZ50"/>
      <c r="EA50"/>
    </row>
    <row r="51" spans="1:131" s="35" customFormat="1" ht="15.75" customHeight="1">
      <c r="A51" s="24">
        <v>47</v>
      </c>
      <c r="B51" s="166" t="s">
        <v>46</v>
      </c>
      <c r="C51" s="44" t="s">
        <v>153</v>
      </c>
      <c r="D51" s="73">
        <v>0.6</v>
      </c>
      <c r="E51" s="74">
        <v>10</v>
      </c>
      <c r="F51" s="75" t="s">
        <v>154</v>
      </c>
      <c r="G51" s="29">
        <v>0</v>
      </c>
      <c r="H51" s="40"/>
      <c r="I51" s="31"/>
      <c r="J51" s="31" t="str">
        <f t="shared" si="27"/>
        <v/>
      </c>
      <c r="K51" s="31" t="str">
        <f t="shared" si="34"/>
        <v/>
      </c>
      <c r="L51" s="31" t="str">
        <f t="shared" si="28"/>
        <v/>
      </c>
      <c r="M51" s="31" t="str">
        <f t="shared" si="29"/>
        <v/>
      </c>
      <c r="N51" s="31" t="str">
        <f t="shared" si="35"/>
        <v/>
      </c>
      <c r="O51" s="31" t="str">
        <f t="shared" si="23"/>
        <v/>
      </c>
      <c r="P51" s="31" t="str">
        <f t="shared" si="24"/>
        <v/>
      </c>
      <c r="Q51" s="31" t="str">
        <f t="shared" si="33"/>
        <v/>
      </c>
      <c r="R51" s="31" t="str">
        <f t="shared" si="16"/>
        <v/>
      </c>
      <c r="S51" s="317"/>
      <c r="T51" s="32"/>
      <c r="U51" s="33"/>
      <c r="V51" s="33"/>
      <c r="W51" s="33"/>
      <c r="X51" s="4"/>
      <c r="Y51" s="76" t="s">
        <v>155</v>
      </c>
      <c r="Z51" s="4"/>
      <c r="AA51" s="326"/>
      <c r="AB51" s="326"/>
      <c r="AC51" s="326"/>
      <c r="AD51" s="326"/>
      <c r="AE51" s="326"/>
      <c r="AF51" s="326"/>
      <c r="AG51" s="326"/>
      <c r="AH51" s="326"/>
      <c r="AI51" s="326"/>
      <c r="AJ51" s="4"/>
      <c r="AK51" s="326"/>
      <c r="AL51" s="326"/>
      <c r="AM51" s="326"/>
      <c r="AN51" s="326"/>
      <c r="AO51" s="326"/>
      <c r="AP51" s="326"/>
      <c r="AQ51" s="326"/>
      <c r="AR51" s="326"/>
      <c r="AS51" s="326"/>
      <c r="AT51" s="4"/>
      <c r="AU51" s="327" t="str">
        <f t="shared" si="30"/>
        <v/>
      </c>
      <c r="AV51" s="327" t="str">
        <f t="shared" si="31"/>
        <v/>
      </c>
      <c r="AW51" s="327" t="str">
        <f t="shared" si="32"/>
        <v/>
      </c>
      <c r="AX51" s="4"/>
      <c r="AY51" s="328" t="s">
        <v>156</v>
      </c>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row>
    <row r="52" spans="1:131" ht="14.25" customHeight="1">
      <c r="A52" s="24">
        <v>48</v>
      </c>
      <c r="B52" s="166" t="s">
        <v>46</v>
      </c>
      <c r="C52" s="36" t="s">
        <v>153</v>
      </c>
      <c r="D52" s="37">
        <v>21</v>
      </c>
      <c r="E52" s="38">
        <v>3.6</v>
      </c>
      <c r="F52" s="59">
        <v>577</v>
      </c>
      <c r="G52" s="86">
        <v>0</v>
      </c>
      <c r="H52" s="61">
        <v>6</v>
      </c>
      <c r="I52" s="47">
        <v>6</v>
      </c>
      <c r="J52" s="31">
        <f t="shared" si="27"/>
        <v>4</v>
      </c>
      <c r="K52" s="31">
        <f t="shared" si="34"/>
        <v>0</v>
      </c>
      <c r="L52" s="31">
        <f t="shared" si="28"/>
        <v>4</v>
      </c>
      <c r="M52" s="357">
        <f t="shared" si="29"/>
        <v>56</v>
      </c>
      <c r="N52" s="357">
        <f t="shared" si="35"/>
        <v>0</v>
      </c>
      <c r="O52" s="357">
        <f t="shared" si="23"/>
        <v>53</v>
      </c>
      <c r="P52" s="31">
        <f t="shared" si="24"/>
        <v>6</v>
      </c>
      <c r="Q52" s="31">
        <f t="shared" si="33"/>
        <v>0</v>
      </c>
      <c r="R52" s="31">
        <f t="shared" si="16"/>
        <v>6</v>
      </c>
      <c r="S52" s="104" t="s">
        <v>75</v>
      </c>
      <c r="T52" s="42" t="s">
        <v>76</v>
      </c>
      <c r="U52" s="127" t="s">
        <v>85</v>
      </c>
      <c r="V52" s="127" t="s">
        <v>85</v>
      </c>
      <c r="W52" s="42" t="s">
        <v>85</v>
      </c>
      <c r="X52" s="4"/>
      <c r="Y52" s="43" t="s">
        <v>157</v>
      </c>
      <c r="AA52" s="326">
        <v>8</v>
      </c>
      <c r="AB52" s="326">
        <f t="shared" si="17"/>
        <v>397</v>
      </c>
      <c r="AC52" s="326">
        <v>405</v>
      </c>
      <c r="AD52" s="326">
        <v>376</v>
      </c>
      <c r="AE52" s="326">
        <v>3</v>
      </c>
      <c r="AF52" s="326">
        <f>IF((AD52+AE52&gt;0),AD52+AE52,"")</f>
        <v>379</v>
      </c>
      <c r="AG52" s="326">
        <v>16</v>
      </c>
      <c r="AH52" s="326">
        <v>1</v>
      </c>
      <c r="AI52" s="326">
        <f>IF((AG52+AH52&gt;0),AG52+AH52,"")</f>
        <v>17</v>
      </c>
      <c r="AK52" s="326">
        <v>0</v>
      </c>
      <c r="AL52" s="326">
        <f t="shared" si="18"/>
        <v>23</v>
      </c>
      <c r="AM52" s="326">
        <v>23</v>
      </c>
      <c r="AN52" s="326">
        <v>14</v>
      </c>
      <c r="AO52" s="326">
        <v>0</v>
      </c>
      <c r="AP52" s="326">
        <f>AN52+AO52</f>
        <v>14</v>
      </c>
      <c r="AQ52" s="326">
        <v>9</v>
      </c>
      <c r="AR52" s="326">
        <v>0</v>
      </c>
      <c r="AS52" s="326">
        <f>AQ52+AR52</f>
        <v>9</v>
      </c>
      <c r="AU52" s="327">
        <f t="shared" si="30"/>
        <v>5.8673469387755102</v>
      </c>
      <c r="AV52" s="327">
        <f t="shared" si="31"/>
        <v>0</v>
      </c>
      <c r="AW52" s="327">
        <f t="shared" si="32"/>
        <v>5.808080808080808</v>
      </c>
      <c r="AY52" s="328" t="s">
        <v>158</v>
      </c>
      <c r="DZ52"/>
      <c r="EA52"/>
    </row>
    <row r="53" spans="1:131" ht="14.25" customHeight="1">
      <c r="A53" s="24">
        <v>49</v>
      </c>
      <c r="B53" s="166" t="s">
        <v>46</v>
      </c>
      <c r="C53" s="36" t="s">
        <v>153</v>
      </c>
      <c r="D53" s="37">
        <v>42.5</v>
      </c>
      <c r="E53" s="38">
        <v>3.5</v>
      </c>
      <c r="F53" s="59">
        <v>552</v>
      </c>
      <c r="G53" s="60"/>
      <c r="H53" s="61">
        <v>8</v>
      </c>
      <c r="I53" s="47">
        <v>8</v>
      </c>
      <c r="J53" s="31">
        <f t="shared" si="27"/>
        <v>8</v>
      </c>
      <c r="K53" s="31">
        <f t="shared" si="34"/>
        <v>0</v>
      </c>
      <c r="L53" s="31">
        <f t="shared" si="28"/>
        <v>8</v>
      </c>
      <c r="M53" s="31">
        <f t="shared" si="29"/>
        <v>8</v>
      </c>
      <c r="N53" s="357">
        <f t="shared" si="35"/>
        <v>8</v>
      </c>
      <c r="O53" s="31">
        <f t="shared" si="23"/>
        <v>8</v>
      </c>
      <c r="P53" s="31">
        <f t="shared" si="24"/>
        <v>8</v>
      </c>
      <c r="Q53" s="31">
        <f t="shared" si="33"/>
        <v>7</v>
      </c>
      <c r="R53" s="31">
        <f t="shared" si="16"/>
        <v>8</v>
      </c>
      <c r="S53" s="104" t="s">
        <v>75</v>
      </c>
      <c r="T53" s="62" t="s">
        <v>75</v>
      </c>
      <c r="U53" s="127" t="s">
        <v>85</v>
      </c>
      <c r="V53" s="62" t="s">
        <v>75</v>
      </c>
      <c r="W53" s="62" t="s">
        <v>76</v>
      </c>
      <c r="X53" s="4"/>
      <c r="Y53" s="43" t="s">
        <v>159</v>
      </c>
      <c r="AA53" s="326">
        <v>8</v>
      </c>
      <c r="AB53" s="326">
        <f t="shared" si="17"/>
        <v>686</v>
      </c>
      <c r="AC53" s="326">
        <v>694</v>
      </c>
      <c r="AD53" s="326">
        <v>118</v>
      </c>
      <c r="AE53" s="326">
        <v>3</v>
      </c>
      <c r="AF53" s="326">
        <f>IF((AD53+AE53&gt;0),AD53+AE53,"")</f>
        <v>121</v>
      </c>
      <c r="AG53" s="326">
        <v>538</v>
      </c>
      <c r="AH53" s="326">
        <v>25</v>
      </c>
      <c r="AI53" s="326">
        <f>IF((AG53+AH53&gt;0),AG53+AH53,"")</f>
        <v>563</v>
      </c>
      <c r="AK53" s="326">
        <v>1</v>
      </c>
      <c r="AL53" s="326">
        <f t="shared" si="18"/>
        <v>54</v>
      </c>
      <c r="AM53" s="326">
        <v>55</v>
      </c>
      <c r="AN53" s="326">
        <v>10</v>
      </c>
      <c r="AO53" s="326">
        <v>0</v>
      </c>
      <c r="AP53" s="326">
        <f>AN53+AO53</f>
        <v>10</v>
      </c>
      <c r="AQ53" s="326">
        <v>41</v>
      </c>
      <c r="AR53" s="326">
        <v>2</v>
      </c>
      <c r="AS53" s="326">
        <f>AQ53+AR53</f>
        <v>43</v>
      </c>
      <c r="AU53" s="327">
        <f t="shared" si="30"/>
        <v>7.774390243902439</v>
      </c>
      <c r="AV53" s="327">
        <f t="shared" si="31"/>
        <v>7.1428571428571423</v>
      </c>
      <c r="AW53" s="327">
        <f t="shared" si="32"/>
        <v>7.7485380116959064</v>
      </c>
      <c r="AY53" s="328" t="s">
        <v>158</v>
      </c>
      <c r="DZ53"/>
      <c r="EA53"/>
    </row>
    <row r="54" spans="1:131" ht="14.25" customHeight="1">
      <c r="A54" s="24">
        <v>50</v>
      </c>
      <c r="B54" s="166" t="s">
        <v>46</v>
      </c>
      <c r="C54" s="36" t="s">
        <v>153</v>
      </c>
      <c r="D54" s="37" t="s">
        <v>100</v>
      </c>
      <c r="E54" s="38"/>
      <c r="F54" s="59">
        <v>430</v>
      </c>
      <c r="G54" s="60"/>
      <c r="H54" s="48">
        <v>1</v>
      </c>
      <c r="I54" s="48">
        <v>1</v>
      </c>
      <c r="J54" s="31" t="str">
        <f t="shared" si="27"/>
        <v/>
      </c>
      <c r="K54" s="31" t="str">
        <f t="shared" si="34"/>
        <v/>
      </c>
      <c r="L54" s="31" t="str">
        <f t="shared" si="28"/>
        <v/>
      </c>
      <c r="M54" s="31" t="str">
        <f t="shared" si="29"/>
        <v/>
      </c>
      <c r="N54" s="31" t="str">
        <f t="shared" si="35"/>
        <v/>
      </c>
      <c r="O54" s="31" t="str">
        <f t="shared" si="23"/>
        <v/>
      </c>
      <c r="P54" s="31" t="str">
        <f t="shared" si="24"/>
        <v/>
      </c>
      <c r="Q54" s="31" t="str">
        <f t="shared" si="33"/>
        <v/>
      </c>
      <c r="R54" s="31" t="str">
        <f t="shared" si="16"/>
        <v/>
      </c>
      <c r="S54" s="104"/>
      <c r="T54" s="62"/>
      <c r="U54" s="78"/>
      <c r="V54" s="78"/>
      <c r="W54" s="78"/>
      <c r="X54" s="4"/>
      <c r="Y54" s="54" t="s">
        <v>160</v>
      </c>
      <c r="AA54" s="326"/>
      <c r="AB54" s="326"/>
      <c r="AC54" s="326"/>
      <c r="AD54" s="326"/>
      <c r="AE54" s="326"/>
      <c r="AF54" s="326"/>
      <c r="AG54" s="326"/>
      <c r="AH54" s="326"/>
      <c r="AI54" s="326"/>
      <c r="AK54" s="326"/>
      <c r="AL54" s="326"/>
      <c r="AM54" s="326"/>
      <c r="AN54" s="326"/>
      <c r="AO54" s="326"/>
      <c r="AP54" s="326"/>
      <c r="AQ54" s="326"/>
      <c r="AR54" s="326"/>
      <c r="AS54" s="326"/>
      <c r="AU54" s="327" t="str">
        <f t="shared" si="30"/>
        <v/>
      </c>
      <c r="AV54" s="327" t="str">
        <f t="shared" si="31"/>
        <v/>
      </c>
      <c r="AW54" s="327" t="str">
        <f t="shared" si="32"/>
        <v/>
      </c>
      <c r="AY54" s="329"/>
      <c r="DZ54"/>
      <c r="EA54"/>
    </row>
    <row r="55" spans="1:131" ht="14.25" customHeight="1">
      <c r="A55" s="24">
        <v>51</v>
      </c>
      <c r="B55" s="166" t="s">
        <v>46</v>
      </c>
      <c r="C55" s="36" t="s">
        <v>153</v>
      </c>
      <c r="D55" s="37" t="s">
        <v>100</v>
      </c>
      <c r="E55" s="38"/>
      <c r="F55" s="59">
        <v>430</v>
      </c>
      <c r="G55" s="60"/>
      <c r="H55" s="60">
        <v>1</v>
      </c>
      <c r="I55" s="48">
        <v>1</v>
      </c>
      <c r="J55" s="31" t="str">
        <f t="shared" si="27"/>
        <v/>
      </c>
      <c r="K55" s="31" t="str">
        <f t="shared" si="34"/>
        <v/>
      </c>
      <c r="L55" s="31" t="str">
        <f t="shared" si="28"/>
        <v/>
      </c>
      <c r="M55" s="31" t="str">
        <f t="shared" si="29"/>
        <v/>
      </c>
      <c r="N55" s="31" t="str">
        <f t="shared" si="35"/>
        <v/>
      </c>
      <c r="O55" s="31" t="str">
        <f t="shared" si="23"/>
        <v/>
      </c>
      <c r="P55" s="31" t="str">
        <f t="shared" si="24"/>
        <v/>
      </c>
      <c r="Q55" s="31" t="str">
        <f t="shared" si="33"/>
        <v/>
      </c>
      <c r="R55" s="31" t="str">
        <f t="shared" si="16"/>
        <v/>
      </c>
      <c r="S55" s="104"/>
      <c r="T55" s="62"/>
      <c r="U55" s="78"/>
      <c r="V55" s="78"/>
      <c r="W55" s="78"/>
      <c r="X55" s="4"/>
      <c r="Y55" s="54" t="s">
        <v>161</v>
      </c>
      <c r="AA55" s="326"/>
      <c r="AB55" s="326"/>
      <c r="AC55" s="326"/>
      <c r="AD55" s="326"/>
      <c r="AE55" s="326"/>
      <c r="AF55" s="326"/>
      <c r="AG55" s="326"/>
      <c r="AH55" s="326"/>
      <c r="AI55" s="326"/>
      <c r="AK55" s="326"/>
      <c r="AL55" s="326"/>
      <c r="AM55" s="326"/>
      <c r="AN55" s="326"/>
      <c r="AO55" s="326"/>
      <c r="AP55" s="326"/>
      <c r="AQ55" s="326"/>
      <c r="AR55" s="326"/>
      <c r="AS55" s="326"/>
      <c r="AU55" s="327" t="str">
        <f t="shared" si="30"/>
        <v/>
      </c>
      <c r="AV55" s="327" t="str">
        <f t="shared" si="31"/>
        <v/>
      </c>
      <c r="AW55" s="327" t="str">
        <f t="shared" si="32"/>
        <v/>
      </c>
      <c r="AY55" s="329"/>
      <c r="DZ55"/>
      <c r="EA55"/>
    </row>
    <row r="56" spans="1:131" ht="14.25" customHeight="1">
      <c r="A56" s="24">
        <v>52</v>
      </c>
      <c r="B56" s="166" t="s">
        <v>46</v>
      </c>
      <c r="C56" s="36" t="s">
        <v>153</v>
      </c>
      <c r="D56" s="50" t="s">
        <v>162</v>
      </c>
      <c r="E56" s="38"/>
      <c r="F56" s="52" t="s">
        <v>163</v>
      </c>
      <c r="G56" s="60"/>
      <c r="H56" s="47">
        <v>5.5</v>
      </c>
      <c r="I56" s="47">
        <v>5.5</v>
      </c>
      <c r="J56" s="31" t="str">
        <f t="shared" si="27"/>
        <v/>
      </c>
      <c r="K56" s="31" t="str">
        <f t="shared" si="34"/>
        <v/>
      </c>
      <c r="L56" s="31" t="str">
        <f t="shared" si="28"/>
        <v/>
      </c>
      <c r="M56" s="31" t="str">
        <f t="shared" si="29"/>
        <v/>
      </c>
      <c r="N56" s="31" t="str">
        <f t="shared" si="35"/>
        <v/>
      </c>
      <c r="O56" s="31" t="str">
        <f t="shared" si="23"/>
        <v/>
      </c>
      <c r="P56" s="31" t="str">
        <f t="shared" si="24"/>
        <v/>
      </c>
      <c r="Q56" s="31" t="str">
        <f t="shared" si="33"/>
        <v/>
      </c>
      <c r="R56" s="31" t="str">
        <f t="shared" si="16"/>
        <v/>
      </c>
      <c r="S56" s="104"/>
      <c r="T56" s="62"/>
      <c r="U56" s="78"/>
      <c r="V56" s="78"/>
      <c r="W56" s="78"/>
      <c r="X56" s="4"/>
      <c r="Y56" s="54" t="s">
        <v>164</v>
      </c>
      <c r="AA56" s="326"/>
      <c r="AB56" s="326"/>
      <c r="AC56" s="326"/>
      <c r="AD56" s="326"/>
      <c r="AE56" s="326"/>
      <c r="AF56" s="326"/>
      <c r="AG56" s="326"/>
      <c r="AH56" s="326"/>
      <c r="AI56" s="326"/>
      <c r="AK56" s="326"/>
      <c r="AL56" s="326"/>
      <c r="AM56" s="326"/>
      <c r="AN56" s="326"/>
      <c r="AO56" s="326"/>
      <c r="AP56" s="326"/>
      <c r="AQ56" s="326"/>
      <c r="AR56" s="326"/>
      <c r="AS56" s="326"/>
      <c r="AU56" s="327" t="str">
        <f t="shared" si="30"/>
        <v/>
      </c>
      <c r="AV56" s="327" t="str">
        <f t="shared" si="31"/>
        <v/>
      </c>
      <c r="AW56" s="327" t="str">
        <f t="shared" si="32"/>
        <v/>
      </c>
      <c r="AY56" s="329"/>
      <c r="DZ56"/>
      <c r="EA56"/>
    </row>
    <row r="57" spans="1:131" ht="14.25" customHeight="1">
      <c r="A57" s="24">
        <v>53</v>
      </c>
      <c r="B57" s="166" t="s">
        <v>46</v>
      </c>
      <c r="C57" s="36" t="s">
        <v>153</v>
      </c>
      <c r="D57" s="50" t="s">
        <v>165</v>
      </c>
      <c r="E57" s="38"/>
      <c r="F57" s="52" t="s">
        <v>166</v>
      </c>
      <c r="G57" s="55">
        <v>0</v>
      </c>
      <c r="H57" s="61">
        <v>1</v>
      </c>
      <c r="I57" s="48"/>
      <c r="J57" s="31" t="str">
        <f t="shared" si="27"/>
        <v/>
      </c>
      <c r="K57" s="31" t="str">
        <f t="shared" si="34"/>
        <v/>
      </c>
      <c r="L57" s="31" t="str">
        <f t="shared" si="28"/>
        <v/>
      </c>
      <c r="M57" s="31" t="str">
        <f t="shared" si="29"/>
        <v/>
      </c>
      <c r="N57" s="31" t="str">
        <f t="shared" si="35"/>
        <v/>
      </c>
      <c r="O57" s="31" t="str">
        <f t="shared" si="23"/>
        <v/>
      </c>
      <c r="P57" s="31" t="str">
        <f t="shared" si="24"/>
        <v/>
      </c>
      <c r="Q57" s="31" t="str">
        <f t="shared" si="33"/>
        <v/>
      </c>
      <c r="R57" s="31" t="str">
        <f t="shared" si="16"/>
        <v/>
      </c>
      <c r="S57" s="104"/>
      <c r="T57" s="62"/>
      <c r="U57" s="78"/>
      <c r="V57" s="78"/>
      <c r="W57" s="78"/>
      <c r="X57" s="4"/>
      <c r="Y57" s="54" t="s">
        <v>167</v>
      </c>
      <c r="AA57" s="326"/>
      <c r="AB57" s="326"/>
      <c r="AC57" s="326"/>
      <c r="AD57" s="326"/>
      <c r="AE57" s="326"/>
      <c r="AF57" s="326"/>
      <c r="AG57" s="326"/>
      <c r="AH57" s="326"/>
      <c r="AI57" s="326"/>
      <c r="AK57" s="326"/>
      <c r="AL57" s="326"/>
      <c r="AM57" s="326"/>
      <c r="AN57" s="326"/>
      <c r="AO57" s="326"/>
      <c r="AP57" s="326"/>
      <c r="AQ57" s="326"/>
      <c r="AR57" s="326"/>
      <c r="AS57" s="326"/>
      <c r="AU57" s="327" t="str">
        <f t="shared" si="30"/>
        <v/>
      </c>
      <c r="AV57" s="327" t="str">
        <f t="shared" si="31"/>
        <v/>
      </c>
      <c r="AW57" s="327" t="str">
        <f t="shared" si="32"/>
        <v/>
      </c>
      <c r="AY57" s="329"/>
      <c r="DZ57"/>
      <c r="EA57"/>
    </row>
    <row r="58" spans="1:131" ht="14.25" customHeight="1">
      <c r="A58" s="24">
        <v>54</v>
      </c>
      <c r="B58" s="166" t="s">
        <v>46</v>
      </c>
      <c r="C58" s="36" t="s">
        <v>153</v>
      </c>
      <c r="D58" s="50" t="s">
        <v>168</v>
      </c>
      <c r="E58" s="38"/>
      <c r="F58" s="52" t="s">
        <v>169</v>
      </c>
      <c r="G58" s="60"/>
      <c r="H58" s="47">
        <v>6</v>
      </c>
      <c r="I58" s="47">
        <v>6</v>
      </c>
      <c r="J58" s="31" t="str">
        <f t="shared" si="27"/>
        <v/>
      </c>
      <c r="K58" s="31" t="str">
        <f t="shared" si="34"/>
        <v/>
      </c>
      <c r="L58" s="31" t="str">
        <f t="shared" si="28"/>
        <v/>
      </c>
      <c r="M58" s="31" t="str">
        <f t="shared" si="29"/>
        <v/>
      </c>
      <c r="N58" s="31" t="str">
        <f t="shared" si="35"/>
        <v/>
      </c>
      <c r="O58" s="31" t="str">
        <f t="shared" si="23"/>
        <v/>
      </c>
      <c r="P58" s="31" t="str">
        <f t="shared" si="24"/>
        <v/>
      </c>
      <c r="Q58" s="31" t="str">
        <f t="shared" si="33"/>
        <v/>
      </c>
      <c r="R58" s="31" t="str">
        <f t="shared" si="16"/>
        <v/>
      </c>
      <c r="S58" s="104"/>
      <c r="T58" s="62"/>
      <c r="U58" s="78"/>
      <c r="V58" s="78"/>
      <c r="W58" s="78"/>
      <c r="X58" s="4"/>
      <c r="Y58" s="54" t="s">
        <v>170</v>
      </c>
      <c r="AA58" s="326"/>
      <c r="AB58" s="326"/>
      <c r="AC58" s="326"/>
      <c r="AD58" s="326"/>
      <c r="AE58" s="326"/>
      <c r="AF58" s="326"/>
      <c r="AG58" s="326"/>
      <c r="AH58" s="326"/>
      <c r="AI58" s="326"/>
      <c r="AK58" s="326"/>
      <c r="AL58" s="326"/>
      <c r="AM58" s="326"/>
      <c r="AN58" s="326"/>
      <c r="AO58" s="326"/>
      <c r="AP58" s="326"/>
      <c r="AQ58" s="326"/>
      <c r="AR58" s="326"/>
      <c r="AS58" s="326"/>
      <c r="AU58" s="327" t="str">
        <f t="shared" si="30"/>
        <v/>
      </c>
      <c r="AV58" s="327" t="str">
        <f t="shared" si="31"/>
        <v/>
      </c>
      <c r="AW58" s="327" t="str">
        <f t="shared" si="32"/>
        <v/>
      </c>
      <c r="AY58" s="328" t="s">
        <v>93</v>
      </c>
      <c r="DZ58"/>
      <c r="EA58"/>
    </row>
    <row r="59" spans="1:131" ht="14.25" customHeight="1" thickBot="1">
      <c r="A59" s="24">
        <v>55</v>
      </c>
      <c r="B59" s="166" t="s">
        <v>46</v>
      </c>
      <c r="C59" s="36" t="s">
        <v>153</v>
      </c>
      <c r="D59" s="50" t="s">
        <v>171</v>
      </c>
      <c r="E59" s="38"/>
      <c r="F59" s="52" t="s">
        <v>169</v>
      </c>
      <c r="G59" s="129">
        <v>0</v>
      </c>
      <c r="H59" s="47">
        <v>6</v>
      </c>
      <c r="I59" s="80"/>
      <c r="J59" s="31" t="str">
        <f t="shared" si="27"/>
        <v/>
      </c>
      <c r="K59" s="31" t="str">
        <f t="shared" si="34"/>
        <v/>
      </c>
      <c r="L59" s="31" t="str">
        <f t="shared" si="28"/>
        <v/>
      </c>
      <c r="M59" s="31" t="str">
        <f>IF(ISNUMBER(AQ59/AG59*100),ROUND(AQ59/AG59*100,0),"")</f>
        <v/>
      </c>
      <c r="N59" s="31" t="str">
        <f t="shared" si="35"/>
        <v/>
      </c>
      <c r="O59" s="31" t="str">
        <f t="shared" si="23"/>
        <v/>
      </c>
      <c r="P59" s="31" t="str">
        <f t="shared" si="24"/>
        <v/>
      </c>
      <c r="Q59" s="31" t="str">
        <f t="shared" si="33"/>
        <v/>
      </c>
      <c r="R59" s="31" t="str">
        <f t="shared" si="16"/>
        <v/>
      </c>
      <c r="S59" s="119"/>
      <c r="T59" s="72"/>
      <c r="U59" s="81"/>
      <c r="V59" s="81"/>
      <c r="W59" s="81"/>
      <c r="X59" s="4"/>
      <c r="Y59" s="69" t="s">
        <v>172</v>
      </c>
      <c r="AA59" s="326"/>
      <c r="AB59" s="326"/>
      <c r="AC59" s="326"/>
      <c r="AD59" s="326"/>
      <c r="AE59" s="326"/>
      <c r="AF59" s="326"/>
      <c r="AG59" s="326"/>
      <c r="AH59" s="326"/>
      <c r="AI59" s="326"/>
      <c r="AK59" s="326"/>
      <c r="AL59" s="326"/>
      <c r="AM59" s="326"/>
      <c r="AN59" s="326"/>
      <c r="AO59" s="326"/>
      <c r="AP59" s="326"/>
      <c r="AQ59" s="326"/>
      <c r="AR59" s="326"/>
      <c r="AS59" s="326"/>
      <c r="AU59" s="327" t="str">
        <f t="shared" si="30"/>
        <v/>
      </c>
      <c r="AV59" s="327" t="str">
        <f t="shared" si="31"/>
        <v/>
      </c>
      <c r="AW59" s="327" t="str">
        <f t="shared" si="32"/>
        <v/>
      </c>
      <c r="AY59" s="328" t="s">
        <v>93</v>
      </c>
      <c r="DZ59"/>
      <c r="EA59"/>
    </row>
    <row r="60" spans="1:131" s="4" customFormat="1" ht="15.75" customHeight="1">
      <c r="A60" s="24">
        <v>56</v>
      </c>
      <c r="B60" s="165" t="s">
        <v>48</v>
      </c>
      <c r="C60" s="130" t="s">
        <v>174</v>
      </c>
      <c r="D60" s="131">
        <v>20</v>
      </c>
      <c r="E60" s="132">
        <v>2.37</v>
      </c>
      <c r="F60" s="85">
        <v>837</v>
      </c>
      <c r="G60" s="40"/>
      <c r="H60" s="61">
        <v>1</v>
      </c>
      <c r="I60" s="47">
        <v>1</v>
      </c>
      <c r="J60" s="31" t="str">
        <f t="shared" si="27"/>
        <v/>
      </c>
      <c r="K60" s="31" t="str">
        <f t="shared" si="34"/>
        <v/>
      </c>
      <c r="L60" s="31" t="str">
        <f t="shared" si="28"/>
        <v/>
      </c>
      <c r="M60" s="31" t="str">
        <f t="shared" si="29"/>
        <v/>
      </c>
      <c r="N60" s="31" t="str">
        <f t="shared" si="35"/>
        <v/>
      </c>
      <c r="O60" s="31" t="str">
        <f t="shared" ref="O60:O85" si="36">IF(ISNUMBER(AS60/AI60*100),ROUND(AS60/AI60*100,0),"")</f>
        <v/>
      </c>
      <c r="P60" s="31" t="str">
        <f t="shared" ref="P60:P85" si="37">IF(ISNUMBER(AU60),ROUND(AU60,0),"")</f>
        <v/>
      </c>
      <c r="Q60" s="31" t="str">
        <f t="shared" si="33"/>
        <v/>
      </c>
      <c r="R60" s="31" t="str">
        <f t="shared" si="16"/>
        <v/>
      </c>
      <c r="S60" s="133"/>
      <c r="T60" s="133"/>
      <c r="U60" s="32"/>
      <c r="V60" s="32"/>
      <c r="W60" s="32"/>
      <c r="Y60" s="134" t="s">
        <v>175</v>
      </c>
      <c r="AA60" s="326"/>
      <c r="AB60" s="326"/>
      <c r="AC60" s="326"/>
      <c r="AD60" s="326"/>
      <c r="AE60" s="326"/>
      <c r="AF60" s="326"/>
      <c r="AG60" s="326"/>
      <c r="AH60" s="326"/>
      <c r="AI60" s="326"/>
      <c r="AK60" s="326"/>
      <c r="AL60" s="326"/>
      <c r="AM60" s="326"/>
      <c r="AN60" s="326"/>
      <c r="AO60" s="326"/>
      <c r="AP60" s="326"/>
      <c r="AQ60" s="326"/>
      <c r="AR60" s="326"/>
      <c r="AS60" s="326"/>
      <c r="AU60" s="327" t="str">
        <f t="shared" si="30"/>
        <v/>
      </c>
      <c r="AV60" s="327" t="str">
        <f t="shared" si="31"/>
        <v/>
      </c>
      <c r="AW60" s="327" t="str">
        <f t="shared" si="32"/>
        <v/>
      </c>
      <c r="AY60" s="329" t="s">
        <v>88</v>
      </c>
    </row>
    <row r="61" spans="1:131" s="4" customFormat="1" ht="15.75" customHeight="1">
      <c r="A61" s="24">
        <v>57</v>
      </c>
      <c r="B61" s="165" t="s">
        <v>48</v>
      </c>
      <c r="C61" s="36" t="s">
        <v>174</v>
      </c>
      <c r="D61" s="37">
        <v>45</v>
      </c>
      <c r="E61" s="38">
        <v>2.54</v>
      </c>
      <c r="F61" s="59">
        <v>592</v>
      </c>
      <c r="G61" s="60"/>
      <c r="H61" s="61">
        <v>7</v>
      </c>
      <c r="I61" s="47">
        <v>7</v>
      </c>
      <c r="J61" s="31">
        <f t="shared" si="27"/>
        <v>3</v>
      </c>
      <c r="K61" s="31"/>
      <c r="L61" s="31">
        <f t="shared" si="28"/>
        <v>3</v>
      </c>
      <c r="M61" s="31">
        <f t="shared" si="29"/>
        <v>15</v>
      </c>
      <c r="N61" s="357">
        <f t="shared" si="35"/>
        <v>11</v>
      </c>
      <c r="O61" s="31">
        <f t="shared" si="36"/>
        <v>15</v>
      </c>
      <c r="P61" s="31">
        <f t="shared" si="37"/>
        <v>7</v>
      </c>
      <c r="Q61" s="31">
        <f t="shared" si="33"/>
        <v>9</v>
      </c>
      <c r="R61" s="31">
        <f t="shared" si="16"/>
        <v>7</v>
      </c>
      <c r="S61" s="78" t="s">
        <v>94</v>
      </c>
      <c r="T61" s="78"/>
      <c r="U61" s="62"/>
      <c r="V61" s="62"/>
      <c r="W61" s="62" t="s">
        <v>94</v>
      </c>
      <c r="Y61" s="43" t="s">
        <v>176</v>
      </c>
      <c r="AA61" s="326"/>
      <c r="AB61" s="326">
        <f t="shared" si="17"/>
        <v>325</v>
      </c>
      <c r="AC61" s="326">
        <v>325</v>
      </c>
      <c r="AD61" s="326">
        <v>196</v>
      </c>
      <c r="AE61" s="326">
        <v>2</v>
      </c>
      <c r="AF61" s="326">
        <f t="shared" ref="AF61:AF69" si="38">IF((AD61+AE61&gt;0),AD61+AE61,"")</f>
        <v>198</v>
      </c>
      <c r="AG61" s="326">
        <v>117</v>
      </c>
      <c r="AH61" s="326">
        <v>9</v>
      </c>
      <c r="AI61" s="326">
        <f t="shared" ref="AI61:AI69" si="39">IF((AG61+AH61&gt;0),AG61+AH61,"")</f>
        <v>126</v>
      </c>
      <c r="AK61" s="326"/>
      <c r="AL61" s="326">
        <f t="shared" si="18"/>
        <v>24</v>
      </c>
      <c r="AM61" s="326">
        <v>24</v>
      </c>
      <c r="AN61" s="326">
        <v>5</v>
      </c>
      <c r="AO61" s="326">
        <v>0</v>
      </c>
      <c r="AP61" s="326">
        <f>AN61+AO61</f>
        <v>5</v>
      </c>
      <c r="AQ61" s="326">
        <v>18</v>
      </c>
      <c r="AR61" s="326">
        <v>1</v>
      </c>
      <c r="AS61" s="326">
        <f>AQ61+AR61</f>
        <v>19</v>
      </c>
      <c r="AU61" s="327">
        <f t="shared" si="30"/>
        <v>7.3482428115015974</v>
      </c>
      <c r="AV61" s="327">
        <f t="shared" si="31"/>
        <v>9.0909090909090917</v>
      </c>
      <c r="AW61" s="327">
        <f t="shared" si="32"/>
        <v>7.4074074074074066</v>
      </c>
      <c r="AY61" s="328" t="s">
        <v>177</v>
      </c>
    </row>
    <row r="62" spans="1:131" ht="14.25" customHeight="1">
      <c r="A62" s="24">
        <v>58</v>
      </c>
      <c r="B62" s="165" t="s">
        <v>48</v>
      </c>
      <c r="C62" s="36" t="s">
        <v>174</v>
      </c>
      <c r="D62" s="37">
        <v>90</v>
      </c>
      <c r="E62" s="38">
        <v>2.7</v>
      </c>
      <c r="F62" s="59">
        <v>364</v>
      </c>
      <c r="G62" s="86">
        <v>0</v>
      </c>
      <c r="H62" s="61">
        <v>79</v>
      </c>
      <c r="I62" s="47">
        <v>79</v>
      </c>
      <c r="J62" s="31">
        <f t="shared" si="27"/>
        <v>35</v>
      </c>
      <c r="K62" s="31">
        <f t="shared" si="34"/>
        <v>26</v>
      </c>
      <c r="L62" s="31">
        <f t="shared" si="28"/>
        <v>34</v>
      </c>
      <c r="M62" s="31">
        <f t="shared" si="29"/>
        <v>81</v>
      </c>
      <c r="N62" s="31">
        <f t="shared" si="35"/>
        <v>90</v>
      </c>
      <c r="O62" s="31">
        <f t="shared" si="36"/>
        <v>81</v>
      </c>
      <c r="P62" s="31">
        <f t="shared" si="37"/>
        <v>79</v>
      </c>
      <c r="Q62" s="31">
        <f t="shared" si="33"/>
        <v>74</v>
      </c>
      <c r="R62" s="31">
        <f t="shared" si="16"/>
        <v>79</v>
      </c>
      <c r="S62" s="78" t="s">
        <v>76</v>
      </c>
      <c r="T62" s="78"/>
      <c r="U62" s="62"/>
      <c r="V62" s="62"/>
      <c r="W62" s="62" t="s">
        <v>76</v>
      </c>
      <c r="X62" s="4"/>
      <c r="Y62" s="43" t="s">
        <v>178</v>
      </c>
      <c r="AA62" s="326">
        <v>6</v>
      </c>
      <c r="AB62" s="326">
        <f t="shared" si="17"/>
        <v>31737</v>
      </c>
      <c r="AC62" s="326">
        <v>31743</v>
      </c>
      <c r="AD62" s="326">
        <v>1123</v>
      </c>
      <c r="AE62" s="326">
        <v>66</v>
      </c>
      <c r="AF62" s="326">
        <f t="shared" si="38"/>
        <v>1189</v>
      </c>
      <c r="AG62" s="326">
        <v>30354</v>
      </c>
      <c r="AH62" s="326">
        <v>194</v>
      </c>
      <c r="AI62" s="326">
        <f t="shared" si="39"/>
        <v>30548</v>
      </c>
      <c r="AK62" s="326">
        <v>0</v>
      </c>
      <c r="AL62" s="326">
        <f t="shared" si="18"/>
        <v>25146</v>
      </c>
      <c r="AM62" s="326">
        <v>25146</v>
      </c>
      <c r="AN62" s="326">
        <v>390</v>
      </c>
      <c r="AO62" s="326">
        <v>17</v>
      </c>
      <c r="AP62" s="326">
        <f t="shared" ref="AP62:AP69" si="40">AN62+AO62</f>
        <v>407</v>
      </c>
      <c r="AQ62" s="326">
        <v>24564</v>
      </c>
      <c r="AR62" s="326">
        <v>175</v>
      </c>
      <c r="AS62" s="326">
        <f t="shared" ref="AS62:AS69" si="41">AQ62+AR62</f>
        <v>24739</v>
      </c>
      <c r="AU62" s="327">
        <f t="shared" si="30"/>
        <v>79.276932363312895</v>
      </c>
      <c r="AV62" s="327">
        <f t="shared" si="31"/>
        <v>73.846153846153854</v>
      </c>
      <c r="AW62" s="327">
        <f t="shared" si="32"/>
        <v>79.232441629643631</v>
      </c>
      <c r="AY62" s="328" t="s">
        <v>177</v>
      </c>
      <c r="DZ62"/>
      <c r="EA62"/>
    </row>
    <row r="63" spans="1:131" ht="14.25" customHeight="1">
      <c r="A63" s="24">
        <v>59</v>
      </c>
      <c r="B63" s="165" t="s">
        <v>48</v>
      </c>
      <c r="C63" s="36" t="s">
        <v>174</v>
      </c>
      <c r="D63" s="37">
        <v>105</v>
      </c>
      <c r="E63" s="38">
        <v>2.2000000000000002</v>
      </c>
      <c r="F63" s="59">
        <v>291</v>
      </c>
      <c r="G63" s="60"/>
      <c r="H63" s="61">
        <v>7</v>
      </c>
      <c r="I63" s="47">
        <v>7</v>
      </c>
      <c r="J63" s="31">
        <f t="shared" si="27"/>
        <v>3</v>
      </c>
      <c r="K63" s="31"/>
      <c r="L63" s="31">
        <f t="shared" si="28"/>
        <v>3</v>
      </c>
      <c r="M63" s="31">
        <f t="shared" si="29"/>
        <v>21</v>
      </c>
      <c r="N63" s="31"/>
      <c r="O63" s="31">
        <f t="shared" si="36"/>
        <v>22</v>
      </c>
      <c r="P63" s="31">
        <f t="shared" si="37"/>
        <v>7</v>
      </c>
      <c r="Q63" s="31"/>
      <c r="R63" s="31">
        <f t="shared" si="16"/>
        <v>7</v>
      </c>
      <c r="S63" s="78" t="s">
        <v>75</v>
      </c>
      <c r="T63" s="62" t="s">
        <v>85</v>
      </c>
      <c r="U63" s="62" t="s">
        <v>75</v>
      </c>
      <c r="V63" s="62" t="s">
        <v>77</v>
      </c>
      <c r="W63" s="62" t="s">
        <v>75</v>
      </c>
      <c r="X63" s="4"/>
      <c r="Y63" s="43" t="s">
        <v>179</v>
      </c>
      <c r="AA63" s="326">
        <v>5</v>
      </c>
      <c r="AB63" s="326">
        <f t="shared" si="17"/>
        <v>4710</v>
      </c>
      <c r="AC63" s="326">
        <v>4715</v>
      </c>
      <c r="AD63" s="326">
        <v>3759</v>
      </c>
      <c r="AE63" s="326">
        <v>7</v>
      </c>
      <c r="AF63" s="326">
        <f t="shared" si="38"/>
        <v>3766</v>
      </c>
      <c r="AG63" s="326">
        <v>891</v>
      </c>
      <c r="AH63" s="326">
        <v>11</v>
      </c>
      <c r="AI63" s="326">
        <f t="shared" si="39"/>
        <v>902</v>
      </c>
      <c r="AK63" s="326">
        <v>4</v>
      </c>
      <c r="AL63" s="326">
        <f t="shared" si="18"/>
        <v>320</v>
      </c>
      <c r="AM63" s="326">
        <v>324</v>
      </c>
      <c r="AN63" s="326">
        <v>116</v>
      </c>
      <c r="AO63" s="326">
        <v>1</v>
      </c>
      <c r="AP63" s="326">
        <f t="shared" si="40"/>
        <v>117</v>
      </c>
      <c r="AQ63" s="326">
        <v>191</v>
      </c>
      <c r="AR63" s="326">
        <v>8</v>
      </c>
      <c r="AS63" s="326">
        <f t="shared" si="41"/>
        <v>199</v>
      </c>
      <c r="AU63" s="327">
        <f t="shared" si="30"/>
        <v>6.602150537634409</v>
      </c>
      <c r="AV63" s="327">
        <f t="shared" si="31"/>
        <v>50</v>
      </c>
      <c r="AW63" s="327">
        <f t="shared" si="32"/>
        <v>6.7694944301628102</v>
      </c>
      <c r="AY63" s="328" t="s">
        <v>177</v>
      </c>
      <c r="DZ63"/>
      <c r="EA63"/>
    </row>
    <row r="64" spans="1:131" ht="14.25" customHeight="1">
      <c r="A64" s="24">
        <v>60</v>
      </c>
      <c r="B64" s="165" t="s">
        <v>48</v>
      </c>
      <c r="C64" s="36" t="s">
        <v>174</v>
      </c>
      <c r="D64" s="37">
        <v>135</v>
      </c>
      <c r="E64" s="38" t="s">
        <v>180</v>
      </c>
      <c r="F64" s="85">
        <v>307</v>
      </c>
      <c r="G64" s="60"/>
      <c r="H64" s="61">
        <v>2</v>
      </c>
      <c r="I64" s="47">
        <v>2</v>
      </c>
      <c r="J64" s="31">
        <f t="shared" si="27"/>
        <v>1</v>
      </c>
      <c r="K64" s="31">
        <f t="shared" ref="K64:K85" si="42">IF(ISNUMBER(AO64/AE64*100),ROUND(AO64/AE64*100,0),"")</f>
        <v>9</v>
      </c>
      <c r="L64" s="31">
        <f t="shared" si="28"/>
        <v>1</v>
      </c>
      <c r="M64" s="31">
        <f t="shared" si="29"/>
        <v>3</v>
      </c>
      <c r="N64" s="31"/>
      <c r="O64" s="31">
        <f t="shared" si="36"/>
        <v>3</v>
      </c>
      <c r="P64" s="31">
        <f t="shared" si="37"/>
        <v>2</v>
      </c>
      <c r="Q64" s="31">
        <f>IF(ISNUMBER(AV64),ROUND(AV64,0),"")</f>
        <v>10</v>
      </c>
      <c r="R64" s="31">
        <f t="shared" si="16"/>
        <v>2</v>
      </c>
      <c r="S64" s="78" t="s">
        <v>77</v>
      </c>
      <c r="T64" s="62" t="s">
        <v>75</v>
      </c>
      <c r="U64" s="127" t="s">
        <v>85</v>
      </c>
      <c r="V64" s="62" t="s">
        <v>75</v>
      </c>
      <c r="W64" s="62" t="s">
        <v>76</v>
      </c>
      <c r="X64" s="4"/>
      <c r="Y64" s="43" t="s">
        <v>181</v>
      </c>
      <c r="AA64" s="326">
        <v>6</v>
      </c>
      <c r="AB64" s="326">
        <f t="shared" si="17"/>
        <v>24846</v>
      </c>
      <c r="AC64" s="326">
        <v>24852</v>
      </c>
      <c r="AD64" s="326">
        <v>14151</v>
      </c>
      <c r="AE64" s="326">
        <v>34</v>
      </c>
      <c r="AF64" s="326">
        <f t="shared" si="38"/>
        <v>14185</v>
      </c>
      <c r="AG64" s="326">
        <v>10633</v>
      </c>
      <c r="AH64" s="326">
        <v>8</v>
      </c>
      <c r="AI64" s="326">
        <f t="shared" si="39"/>
        <v>10641</v>
      </c>
      <c r="AK64" s="326">
        <v>4</v>
      </c>
      <c r="AL64" s="326">
        <f t="shared" si="18"/>
        <v>387</v>
      </c>
      <c r="AM64" s="326">
        <v>391</v>
      </c>
      <c r="AN64" s="326">
        <v>90</v>
      </c>
      <c r="AO64" s="326">
        <v>3</v>
      </c>
      <c r="AP64" s="326">
        <f t="shared" si="40"/>
        <v>93</v>
      </c>
      <c r="AQ64" s="326">
        <v>293</v>
      </c>
      <c r="AR64" s="326">
        <v>1</v>
      </c>
      <c r="AS64" s="326">
        <f t="shared" si="41"/>
        <v>294</v>
      </c>
      <c r="AU64" s="327">
        <f t="shared" si="30"/>
        <v>1.5453518398967077</v>
      </c>
      <c r="AV64" s="327">
        <f t="shared" si="31"/>
        <v>9.5238095238095237</v>
      </c>
      <c r="AW64" s="327">
        <f t="shared" si="32"/>
        <v>1.5588495931684523</v>
      </c>
      <c r="AY64" s="328" t="s">
        <v>177</v>
      </c>
      <c r="DZ64"/>
      <c r="EA64"/>
    </row>
    <row r="65" spans="1:131" ht="14.25" customHeight="1" thickBot="1">
      <c r="A65" s="24">
        <v>61</v>
      </c>
      <c r="B65" s="165" t="s">
        <v>48</v>
      </c>
      <c r="C65" s="65" t="s">
        <v>49</v>
      </c>
      <c r="D65" s="135">
        <v>255</v>
      </c>
      <c r="E65" s="136">
        <v>5.4</v>
      </c>
      <c r="F65" s="71">
        <v>360</v>
      </c>
      <c r="G65" s="31"/>
      <c r="H65" s="357">
        <f>IF(ISNUMBER(AL65/AB65*100),ROUND(AL65/AB65*100,0),"")</f>
        <v>88</v>
      </c>
      <c r="I65" s="344">
        <f>IF(ISNUMBER(AM65/AC65*100),ROUND(AM65/AC65*100,0),"")</f>
        <v>88</v>
      </c>
      <c r="J65" s="31"/>
      <c r="K65" s="31"/>
      <c r="L65" s="31"/>
      <c r="M65" s="344">
        <f t="shared" si="29"/>
        <v>80</v>
      </c>
      <c r="N65" s="344">
        <f>IF(ISNUMBER(AR65/AH65*100),ROUND(AR65/AH65*100,0),"")</f>
        <v>86</v>
      </c>
      <c r="O65" s="344">
        <f t="shared" si="36"/>
        <v>83</v>
      </c>
      <c r="P65" s="344">
        <f t="shared" si="37"/>
        <v>88</v>
      </c>
      <c r="Q65" s="344">
        <f>IF(ISNUMBER(AV65),ROUND(AV65,0),"")</f>
        <v>88</v>
      </c>
      <c r="R65" s="344">
        <f t="shared" si="16"/>
        <v>88</v>
      </c>
      <c r="S65" s="138"/>
      <c r="T65" s="138"/>
      <c r="U65" s="137"/>
      <c r="V65" s="137"/>
      <c r="W65" s="137"/>
      <c r="X65" s="4"/>
      <c r="Y65" s="139" t="s">
        <v>151</v>
      </c>
      <c r="AA65" s="326">
        <v>2</v>
      </c>
      <c r="AB65" s="326">
        <f>AC65-AA65</f>
        <v>32</v>
      </c>
      <c r="AC65" s="326">
        <v>34</v>
      </c>
      <c r="AD65" s="326">
        <v>6</v>
      </c>
      <c r="AE65" s="326">
        <v>2</v>
      </c>
      <c r="AF65" s="326">
        <f t="shared" si="38"/>
        <v>8</v>
      </c>
      <c r="AG65" s="326">
        <v>10</v>
      </c>
      <c r="AH65" s="326">
        <v>14</v>
      </c>
      <c r="AI65" s="326">
        <f t="shared" si="39"/>
        <v>24</v>
      </c>
      <c r="AK65" s="326">
        <v>2</v>
      </c>
      <c r="AL65" s="326">
        <f>AM65-AK65</f>
        <v>28</v>
      </c>
      <c r="AM65" s="326">
        <v>30</v>
      </c>
      <c r="AN65" s="326">
        <v>6</v>
      </c>
      <c r="AO65" s="326">
        <v>2</v>
      </c>
      <c r="AP65" s="326">
        <f t="shared" si="40"/>
        <v>8</v>
      </c>
      <c r="AQ65" s="326">
        <v>8</v>
      </c>
      <c r="AR65" s="326">
        <v>12</v>
      </c>
      <c r="AS65" s="326">
        <f t="shared" si="41"/>
        <v>20</v>
      </c>
      <c r="AU65" s="327">
        <f>IF(ISNUMBER((SUM(AN65,AQ65)/SUM(AD65,AG65))*100),(SUM(AN65,AQ65)/SUM(AD65,AG65))*100,"")</f>
        <v>87.5</v>
      </c>
      <c r="AV65" s="327">
        <f>IF(ISNUMBER((SUM(AO65,AR65)/SUM(AE65,AH65))*100),(SUM(AO65,AR65)/SUM(AE65,AH65))*100,"")</f>
        <v>87.5</v>
      </c>
      <c r="AW65" s="327">
        <f t="shared" si="32"/>
        <v>87.5</v>
      </c>
      <c r="AY65" s="329"/>
      <c r="DZ65"/>
      <c r="EA65"/>
    </row>
    <row r="66" spans="1:131" s="35" customFormat="1" ht="15.75" customHeight="1">
      <c r="A66" s="24">
        <v>62</v>
      </c>
      <c r="B66" s="165" t="s">
        <v>48</v>
      </c>
      <c r="C66" s="106" t="s">
        <v>182</v>
      </c>
      <c r="D66" s="94">
        <v>26</v>
      </c>
      <c r="E66" s="95">
        <v>3.08</v>
      </c>
      <c r="F66" s="28"/>
      <c r="G66" s="40"/>
      <c r="H66" s="29">
        <v>13</v>
      </c>
      <c r="I66" s="30">
        <v>14</v>
      </c>
      <c r="J66" s="31">
        <f t="shared" si="27"/>
        <v>2</v>
      </c>
      <c r="K66" s="31" t="str">
        <f t="shared" si="42"/>
        <v/>
      </c>
      <c r="L66" s="31">
        <f t="shared" si="28"/>
        <v>2</v>
      </c>
      <c r="M66" s="31">
        <f t="shared" si="29"/>
        <v>24</v>
      </c>
      <c r="N66" s="31"/>
      <c r="O66" s="31">
        <f t="shared" si="36"/>
        <v>28</v>
      </c>
      <c r="P66" s="31">
        <f t="shared" si="37"/>
        <v>13</v>
      </c>
      <c r="Q66" s="31"/>
      <c r="R66" s="31">
        <f t="shared" si="16"/>
        <v>15</v>
      </c>
      <c r="S66" s="133" t="s">
        <v>85</v>
      </c>
      <c r="T66" s="32"/>
      <c r="U66" s="32"/>
      <c r="V66" s="32"/>
      <c r="W66" s="32"/>
      <c r="X66" s="4"/>
      <c r="Y66" s="49" t="s">
        <v>183</v>
      </c>
      <c r="Z66" s="4"/>
      <c r="AA66" s="326">
        <v>2</v>
      </c>
      <c r="AB66" s="326">
        <f t="shared" si="17"/>
        <v>242</v>
      </c>
      <c r="AC66" s="326">
        <v>244</v>
      </c>
      <c r="AD66" s="326">
        <v>82</v>
      </c>
      <c r="AE66" s="326"/>
      <c r="AF66" s="326">
        <f t="shared" si="38"/>
        <v>82</v>
      </c>
      <c r="AG66" s="326">
        <v>78</v>
      </c>
      <c r="AH66" s="326">
        <v>5</v>
      </c>
      <c r="AI66" s="326">
        <f t="shared" si="39"/>
        <v>83</v>
      </c>
      <c r="AJ66" s="4"/>
      <c r="AK66" s="326">
        <v>1</v>
      </c>
      <c r="AL66" s="326">
        <f t="shared" si="18"/>
        <v>32</v>
      </c>
      <c r="AM66" s="326">
        <v>33</v>
      </c>
      <c r="AN66" s="326">
        <v>2</v>
      </c>
      <c r="AO66" s="326"/>
      <c r="AP66" s="326">
        <f t="shared" si="40"/>
        <v>2</v>
      </c>
      <c r="AQ66" s="326">
        <v>19</v>
      </c>
      <c r="AR66" s="326">
        <v>4</v>
      </c>
      <c r="AS66" s="326">
        <f t="shared" si="41"/>
        <v>23</v>
      </c>
      <c r="AT66" s="4"/>
      <c r="AU66" s="327">
        <f t="shared" si="30"/>
        <v>13.125</v>
      </c>
      <c r="AV66" s="327">
        <f t="shared" si="31"/>
        <v>80</v>
      </c>
      <c r="AW66" s="327">
        <f t="shared" si="32"/>
        <v>15.151515151515152</v>
      </c>
      <c r="AX66" s="4"/>
      <c r="AY66" s="328" t="s">
        <v>184</v>
      </c>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4"/>
      <c r="CW66" s="4"/>
      <c r="CX66" s="4"/>
      <c r="CY66" s="4"/>
      <c r="CZ66" s="4"/>
      <c r="DA66" s="4"/>
      <c r="DB66" s="4"/>
      <c r="DC66" s="4"/>
      <c r="DD66" s="4"/>
      <c r="DE66" s="4"/>
      <c r="DF66" s="4"/>
      <c r="DG66" s="4"/>
      <c r="DH66" s="4"/>
      <c r="DI66" s="4"/>
      <c r="DJ66" s="4"/>
      <c r="DK66" s="4"/>
      <c r="DL66" s="4"/>
      <c r="DM66" s="4"/>
      <c r="DN66" s="4"/>
      <c r="DO66" s="4"/>
      <c r="DP66" s="4"/>
      <c r="DQ66" s="4"/>
      <c r="DR66" s="4"/>
      <c r="DS66" s="4"/>
      <c r="DT66" s="4"/>
      <c r="DU66" s="4"/>
      <c r="DV66" s="4"/>
      <c r="DW66" s="4"/>
      <c r="DX66" s="4"/>
      <c r="DY66" s="4"/>
    </row>
    <row r="67" spans="1:131" s="35" customFormat="1" ht="15.75" customHeight="1">
      <c r="A67" s="24">
        <v>63</v>
      </c>
      <c r="B67" s="165" t="s">
        <v>48</v>
      </c>
      <c r="C67" s="106" t="s">
        <v>182</v>
      </c>
      <c r="D67" s="140">
        <v>42</v>
      </c>
      <c r="E67" s="141" t="s">
        <v>185</v>
      </c>
      <c r="F67" s="142"/>
      <c r="G67" s="40"/>
      <c r="H67" s="29">
        <v>27</v>
      </c>
      <c r="I67" s="29">
        <v>27</v>
      </c>
      <c r="J67" s="31">
        <f t="shared" si="27"/>
        <v>26</v>
      </c>
      <c r="K67" s="31" t="str">
        <f t="shared" si="42"/>
        <v/>
      </c>
      <c r="L67" s="31">
        <f t="shared" si="28"/>
        <v>26</v>
      </c>
      <c r="M67" s="31">
        <f t="shared" si="29"/>
        <v>27</v>
      </c>
      <c r="N67" s="31" t="str">
        <f>IF(ISNUMBER(AR67/AH67*100),ROUND(AR67/AH67*100,0),"")</f>
        <v/>
      </c>
      <c r="O67" s="31">
        <f t="shared" si="36"/>
        <v>27</v>
      </c>
      <c r="P67" s="31">
        <f t="shared" si="37"/>
        <v>27</v>
      </c>
      <c r="Q67" s="31" t="str">
        <f>IF(ISNUMBER(AV67),ROUND(AV67,0),"")</f>
        <v/>
      </c>
      <c r="R67" s="31">
        <f t="shared" si="16"/>
        <v>27</v>
      </c>
      <c r="S67" s="78" t="s">
        <v>85</v>
      </c>
      <c r="T67" s="62"/>
      <c r="U67" s="62"/>
      <c r="V67" s="62"/>
      <c r="W67" s="62"/>
      <c r="X67" s="4"/>
      <c r="Y67" s="70" t="s">
        <v>186</v>
      </c>
      <c r="Z67" s="4"/>
      <c r="AA67" s="326">
        <v>1</v>
      </c>
      <c r="AB67" s="326">
        <f t="shared" si="17"/>
        <v>334</v>
      </c>
      <c r="AC67" s="326">
        <f>244+91</f>
        <v>335</v>
      </c>
      <c r="AD67" s="326">
        <f>47+22+24+3</f>
        <v>96</v>
      </c>
      <c r="AE67" s="326"/>
      <c r="AF67" s="326">
        <f t="shared" si="38"/>
        <v>96</v>
      </c>
      <c r="AG67" s="326">
        <f>81+26+73+33+17+4+1+1+1</f>
        <v>237</v>
      </c>
      <c r="AH67" s="326"/>
      <c r="AI67" s="326">
        <f t="shared" si="39"/>
        <v>237</v>
      </c>
      <c r="AJ67" s="4"/>
      <c r="AK67" s="326">
        <v>0</v>
      </c>
      <c r="AL67" s="326">
        <f t="shared" si="18"/>
        <v>91</v>
      </c>
      <c r="AM67" s="326">
        <v>91</v>
      </c>
      <c r="AN67" s="326">
        <f>22+3</f>
        <v>25</v>
      </c>
      <c r="AO67" s="326"/>
      <c r="AP67" s="326">
        <f t="shared" si="40"/>
        <v>25</v>
      </c>
      <c r="AQ67" s="326">
        <f>26+33+4+1+1</f>
        <v>65</v>
      </c>
      <c r="AR67" s="326"/>
      <c r="AS67" s="326">
        <f t="shared" si="41"/>
        <v>65</v>
      </c>
      <c r="AT67" s="4"/>
      <c r="AU67" s="327">
        <f t="shared" si="30"/>
        <v>27.027027027027028</v>
      </c>
      <c r="AV67" s="327" t="str">
        <f t="shared" si="31"/>
        <v/>
      </c>
      <c r="AW67" s="327">
        <f t="shared" si="32"/>
        <v>27.027027027027028</v>
      </c>
      <c r="AX67" s="4"/>
      <c r="AY67" s="328" t="s">
        <v>111</v>
      </c>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4"/>
      <c r="CW67" s="4"/>
      <c r="CX67" s="4"/>
      <c r="CY67" s="4"/>
      <c r="CZ67" s="4"/>
      <c r="DA67" s="4"/>
      <c r="DB67" s="4"/>
      <c r="DC67" s="4"/>
      <c r="DD67" s="4"/>
      <c r="DE67" s="4"/>
      <c r="DF67" s="4"/>
      <c r="DG67" s="4"/>
      <c r="DH67" s="4"/>
      <c r="DI67" s="4"/>
      <c r="DJ67" s="4"/>
      <c r="DK67" s="4"/>
      <c r="DL67" s="4"/>
      <c r="DM67" s="4"/>
      <c r="DN67" s="4"/>
      <c r="DO67" s="4"/>
      <c r="DP67" s="4"/>
      <c r="DQ67" s="4"/>
      <c r="DR67" s="4"/>
      <c r="DS67" s="4"/>
      <c r="DT67" s="4"/>
      <c r="DU67" s="4"/>
      <c r="DV67" s="4"/>
      <c r="DW67" s="4"/>
      <c r="DX67" s="4"/>
      <c r="DY67" s="4"/>
    </row>
    <row r="68" spans="1:131" s="143" customFormat="1" ht="15.75" customHeight="1">
      <c r="A68" s="24">
        <v>64</v>
      </c>
      <c r="B68" s="165" t="s">
        <v>48</v>
      </c>
      <c r="C68" s="93" t="s">
        <v>182</v>
      </c>
      <c r="D68" s="107">
        <v>60</v>
      </c>
      <c r="E68" s="38">
        <v>0.8</v>
      </c>
      <c r="F68" s="59">
        <v>355</v>
      </c>
      <c r="G68" s="61">
        <v>32</v>
      </c>
      <c r="H68" s="61">
        <v>7</v>
      </c>
      <c r="I68" s="47">
        <v>8</v>
      </c>
      <c r="J68" s="31">
        <f t="shared" si="27"/>
        <v>7</v>
      </c>
      <c r="K68" s="31">
        <f t="shared" si="42"/>
        <v>8</v>
      </c>
      <c r="L68" s="31">
        <f t="shared" si="28"/>
        <v>7</v>
      </c>
      <c r="M68" s="31">
        <f t="shared" si="29"/>
        <v>18</v>
      </c>
      <c r="N68" s="357">
        <f>IF(ISNUMBER(AR68/AH68*100),ROUND(AR68/AH68*100,0),"")</f>
        <v>15</v>
      </c>
      <c r="O68" s="31">
        <f t="shared" si="36"/>
        <v>18</v>
      </c>
      <c r="P68" s="31">
        <f t="shared" si="37"/>
        <v>7</v>
      </c>
      <c r="Q68" s="31">
        <f>IF(ISNUMBER(AV68),ROUND(AV68,0),"")</f>
        <v>11</v>
      </c>
      <c r="R68" s="31">
        <f t="shared" si="16"/>
        <v>7</v>
      </c>
      <c r="S68" s="78" t="s">
        <v>75</v>
      </c>
      <c r="T68" s="62" t="s">
        <v>76</v>
      </c>
      <c r="U68" s="62" t="s">
        <v>77</v>
      </c>
      <c r="V68" s="62" t="s">
        <v>76</v>
      </c>
      <c r="W68" s="62" t="s">
        <v>76</v>
      </c>
      <c r="X68" s="4"/>
      <c r="Y68" s="43" t="s">
        <v>187</v>
      </c>
      <c r="Z68" s="4"/>
      <c r="AA68" s="326">
        <v>118</v>
      </c>
      <c r="AB68" s="326">
        <f t="shared" si="17"/>
        <v>4438</v>
      </c>
      <c r="AC68" s="326">
        <v>4556</v>
      </c>
      <c r="AD68" s="326">
        <v>4256</v>
      </c>
      <c r="AE68" s="326">
        <v>40</v>
      </c>
      <c r="AF68" s="326">
        <f t="shared" si="38"/>
        <v>4296</v>
      </c>
      <c r="AG68" s="326">
        <v>116</v>
      </c>
      <c r="AH68" s="326">
        <v>26</v>
      </c>
      <c r="AI68" s="326">
        <f t="shared" si="39"/>
        <v>142</v>
      </c>
      <c r="AJ68" s="4"/>
      <c r="AK68" s="326">
        <v>38</v>
      </c>
      <c r="AL68" s="326">
        <f t="shared" si="18"/>
        <v>321</v>
      </c>
      <c r="AM68" s="326">
        <v>359</v>
      </c>
      <c r="AN68" s="326">
        <v>293</v>
      </c>
      <c r="AO68" s="326">
        <v>3</v>
      </c>
      <c r="AP68" s="326">
        <f t="shared" si="40"/>
        <v>296</v>
      </c>
      <c r="AQ68" s="326">
        <v>21</v>
      </c>
      <c r="AR68" s="326">
        <v>4</v>
      </c>
      <c r="AS68" s="326">
        <f t="shared" si="41"/>
        <v>25</v>
      </c>
      <c r="AT68" s="4"/>
      <c r="AU68" s="327">
        <f t="shared" si="30"/>
        <v>7.182067703568161</v>
      </c>
      <c r="AV68" s="327">
        <f t="shared" si="31"/>
        <v>10.606060606060606</v>
      </c>
      <c r="AW68" s="327">
        <f t="shared" si="32"/>
        <v>7.2329878323569172</v>
      </c>
      <c r="AX68" s="4"/>
      <c r="AY68" s="328" t="s">
        <v>184</v>
      </c>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4"/>
      <c r="CW68" s="4"/>
      <c r="CX68" s="4"/>
      <c r="CY68" s="4"/>
      <c r="CZ68" s="4"/>
      <c r="DA68" s="4"/>
      <c r="DB68" s="4"/>
      <c r="DC68" s="4"/>
      <c r="DD68" s="4"/>
      <c r="DE68" s="4"/>
      <c r="DF68" s="4"/>
      <c r="DG68" s="4"/>
      <c r="DH68" s="4"/>
      <c r="DI68" s="4"/>
      <c r="DJ68" s="4"/>
      <c r="DK68" s="4"/>
      <c r="DL68" s="4"/>
      <c r="DM68" s="4"/>
      <c r="DN68" s="4"/>
      <c r="DO68" s="4"/>
      <c r="DP68" s="4"/>
      <c r="DQ68" s="4"/>
      <c r="DR68" s="4"/>
      <c r="DS68" s="4"/>
      <c r="DT68" s="4"/>
      <c r="DU68" s="4"/>
      <c r="DV68" s="4"/>
      <c r="DW68" s="4"/>
      <c r="DX68" s="4"/>
      <c r="DY68" s="4"/>
    </row>
    <row r="69" spans="1:131" s="143" customFormat="1" ht="15.75" customHeight="1" thickBot="1">
      <c r="A69" s="24">
        <v>65</v>
      </c>
      <c r="B69" s="165" t="s">
        <v>48</v>
      </c>
      <c r="C69" s="441" t="s">
        <v>219</v>
      </c>
      <c r="D69" s="115">
        <v>81</v>
      </c>
      <c r="E69" s="38">
        <v>1</v>
      </c>
      <c r="F69" s="59">
        <v>333</v>
      </c>
      <c r="G69" s="61">
        <v>0</v>
      </c>
      <c r="H69" s="61">
        <v>0</v>
      </c>
      <c r="I69" s="47">
        <v>0</v>
      </c>
      <c r="J69" s="31" t="str">
        <f t="shared" ref="J69:J85" si="43">IF(ISNUMBER(AN69/AD69*100),ROUND(AN69/AD69*100,0),"")</f>
        <v/>
      </c>
      <c r="K69" s="31"/>
      <c r="L69" s="31"/>
      <c r="M69" s="31"/>
      <c r="N69" s="344">
        <f>IF(ISNUMBER(AR69/AH69*100),ROUND(AR69/AH69*100,0),"")</f>
        <v>0</v>
      </c>
      <c r="O69" s="31">
        <f t="shared" si="36"/>
        <v>0</v>
      </c>
      <c r="P69" s="344">
        <f t="shared" si="37"/>
        <v>0</v>
      </c>
      <c r="Q69" s="344">
        <f>IF(ISNUMBER(AV69),ROUND(AV69,0),"")</f>
        <v>0</v>
      </c>
      <c r="R69" s="31">
        <f t="shared" si="16"/>
        <v>0</v>
      </c>
      <c r="S69" s="33"/>
      <c r="T69" s="42"/>
      <c r="U69" s="42"/>
      <c r="V69" s="42"/>
      <c r="W69" s="42"/>
      <c r="X69" s="4"/>
      <c r="Y69" s="34" t="s">
        <v>71</v>
      </c>
      <c r="Z69" s="4"/>
      <c r="AA69" s="326">
        <v>25</v>
      </c>
      <c r="AB69" s="326">
        <f t="shared" si="17"/>
        <v>66</v>
      </c>
      <c r="AC69" s="326">
        <v>91</v>
      </c>
      <c r="AD69" s="326"/>
      <c r="AE69" s="326">
        <v>2</v>
      </c>
      <c r="AF69" s="326">
        <f t="shared" si="38"/>
        <v>2</v>
      </c>
      <c r="AG69" s="326">
        <v>8</v>
      </c>
      <c r="AH69" s="326">
        <v>56</v>
      </c>
      <c r="AI69" s="326">
        <f t="shared" si="39"/>
        <v>64</v>
      </c>
      <c r="AJ69" s="4"/>
      <c r="AK69" s="326">
        <v>0</v>
      </c>
      <c r="AL69" s="326">
        <f t="shared" si="18"/>
        <v>0</v>
      </c>
      <c r="AM69" s="326">
        <v>0</v>
      </c>
      <c r="AN69" s="326"/>
      <c r="AO69" s="326">
        <v>0</v>
      </c>
      <c r="AP69" s="326">
        <f t="shared" si="40"/>
        <v>0</v>
      </c>
      <c r="AQ69" s="326">
        <v>0</v>
      </c>
      <c r="AR69" s="326">
        <v>0</v>
      </c>
      <c r="AS69" s="326">
        <f t="shared" si="41"/>
        <v>0</v>
      </c>
      <c r="AT69" s="4"/>
      <c r="AU69" s="327">
        <f t="shared" ref="AU69:AU77" si="44">IF(ISNUMBER((SUM(AN69,AQ69)/SUM(AD69,AG69))*100),(SUM(AN69,AQ69)/SUM(AD69,AG69))*100,"")</f>
        <v>0</v>
      </c>
      <c r="AV69" s="327">
        <f t="shared" ref="AV69:AV77" si="45">IF(ISNUMBER((SUM(AO69,AR69)/SUM(AE69,AH69))*100),(SUM(AO69,AR69)/SUM(AE69,AH69))*100,"")</f>
        <v>0</v>
      </c>
      <c r="AW69" s="327">
        <f t="shared" ref="AW69:AW77" si="46">IF(ISNUMBER((SUM(AP69,AS69)/SUM(AF69,AI69))*100),(SUM(AP69,AS69)/SUM(AF69,AI69))*100,"")</f>
        <v>0</v>
      </c>
      <c r="AX69" s="4"/>
      <c r="AY69" s="328" t="s">
        <v>72</v>
      </c>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4"/>
      <c r="CW69" s="4"/>
      <c r="CX69" s="4"/>
      <c r="CY69" s="4"/>
      <c r="CZ69" s="4"/>
      <c r="DA69" s="4"/>
      <c r="DB69" s="4"/>
      <c r="DC69" s="4"/>
      <c r="DD69" s="4"/>
      <c r="DE69" s="4"/>
      <c r="DF69" s="4"/>
      <c r="DG69" s="4"/>
      <c r="DH69" s="4"/>
      <c r="DI69" s="4"/>
      <c r="DJ69" s="4"/>
      <c r="DK69" s="4"/>
      <c r="DL69" s="4"/>
      <c r="DM69" s="4"/>
      <c r="DN69" s="4"/>
      <c r="DO69" s="4"/>
      <c r="DP69" s="4"/>
      <c r="DQ69" s="4"/>
      <c r="DR69" s="4"/>
      <c r="DS69" s="4"/>
      <c r="DT69" s="4"/>
      <c r="DU69" s="4"/>
      <c r="DV69" s="4"/>
      <c r="DW69" s="4"/>
      <c r="DX69" s="4"/>
      <c r="DY69" s="4"/>
    </row>
    <row r="70" spans="1:131" ht="14.25" customHeight="1">
      <c r="A70" s="24">
        <v>66</v>
      </c>
      <c r="B70" s="165" t="s">
        <v>48</v>
      </c>
      <c r="C70" s="442" t="s">
        <v>410</v>
      </c>
      <c r="D70" s="144">
        <v>1500</v>
      </c>
      <c r="E70" s="27"/>
      <c r="F70" s="85">
        <v>50</v>
      </c>
      <c r="G70" s="61">
        <v>5</v>
      </c>
      <c r="H70" s="61">
        <v>1</v>
      </c>
      <c r="I70" s="47">
        <v>1</v>
      </c>
      <c r="J70" s="31" t="str">
        <f t="shared" si="43"/>
        <v/>
      </c>
      <c r="K70" s="31" t="str">
        <f t="shared" si="42"/>
        <v/>
      </c>
      <c r="L70" s="31">
        <f t="shared" si="28"/>
        <v>1</v>
      </c>
      <c r="M70" s="31" t="str">
        <f t="shared" si="29"/>
        <v/>
      </c>
      <c r="N70" s="31" t="str">
        <f>IF(ISNUMBER(AR70/AH70*100),ROUND(AR70/AH70*100,0),"")</f>
        <v/>
      </c>
      <c r="O70" s="31">
        <f t="shared" si="36"/>
        <v>1</v>
      </c>
      <c r="P70" s="31" t="str">
        <f t="shared" si="37"/>
        <v/>
      </c>
      <c r="Q70" s="31" t="str">
        <f>IF(ISNUMBER(AV70),ROUND(AV70,0),"")</f>
        <v/>
      </c>
      <c r="R70" s="31">
        <f t="shared" si="16"/>
        <v>1</v>
      </c>
      <c r="S70" s="78"/>
      <c r="T70" s="62"/>
      <c r="U70" s="62"/>
      <c r="V70" s="62"/>
      <c r="W70" s="62"/>
      <c r="X70" s="4"/>
      <c r="Y70" s="56" t="s">
        <v>188</v>
      </c>
      <c r="AA70" s="326">
        <v>77</v>
      </c>
      <c r="AB70" s="326">
        <f t="shared" si="17"/>
        <v>35393</v>
      </c>
      <c r="AC70" s="326">
        <v>35470</v>
      </c>
      <c r="AD70" s="326"/>
      <c r="AE70" s="326"/>
      <c r="AF70" s="326">
        <f>4325+10167+1581</f>
        <v>16073</v>
      </c>
      <c r="AG70" s="326"/>
      <c r="AH70" s="326"/>
      <c r="AI70" s="326">
        <f>62+4257+13864+65+408</f>
        <v>18656</v>
      </c>
      <c r="AK70" s="326">
        <v>4</v>
      </c>
      <c r="AL70" s="326">
        <f t="shared" si="18"/>
        <v>290</v>
      </c>
      <c r="AM70" s="326">
        <v>294</v>
      </c>
      <c r="AN70" s="326"/>
      <c r="AO70" s="326"/>
      <c r="AP70" s="326">
        <f>55+46+10</f>
        <v>111</v>
      </c>
      <c r="AQ70" s="326"/>
      <c r="AR70" s="326"/>
      <c r="AS70" s="326">
        <f>62+113+1</f>
        <v>176</v>
      </c>
      <c r="AU70" s="327" t="str">
        <f t="shared" si="44"/>
        <v/>
      </c>
      <c r="AV70" s="327" t="str">
        <f t="shared" si="45"/>
        <v/>
      </c>
      <c r="AW70" s="327">
        <f t="shared" si="46"/>
        <v>0.82639868697630225</v>
      </c>
      <c r="AY70" s="330" t="s">
        <v>189</v>
      </c>
      <c r="DZ70"/>
      <c r="EA70"/>
    </row>
    <row r="71" spans="1:131" ht="14.25" customHeight="1" thickBot="1">
      <c r="A71" s="24">
        <v>67</v>
      </c>
      <c r="B71" s="165" t="s">
        <v>48</v>
      </c>
      <c r="C71" s="442" t="s">
        <v>410</v>
      </c>
      <c r="D71" s="101">
        <v>2500</v>
      </c>
      <c r="E71" s="51">
        <v>0.6</v>
      </c>
      <c r="F71" s="52">
        <v>80</v>
      </c>
      <c r="G71" s="79"/>
      <c r="H71" s="90">
        <v>4</v>
      </c>
      <c r="I71" s="91">
        <v>4</v>
      </c>
      <c r="J71" s="31" t="str">
        <f t="shared" si="43"/>
        <v/>
      </c>
      <c r="K71" s="31" t="str">
        <f t="shared" si="42"/>
        <v/>
      </c>
      <c r="L71" s="31">
        <f t="shared" si="28"/>
        <v>4</v>
      </c>
      <c r="M71" s="31" t="str">
        <f>IF(ISNUMBER(AQ71/AG71*100),ROUND(AQ71/AG71*100,0),"")</f>
        <v/>
      </c>
      <c r="N71" s="31" t="str">
        <f>IF(ISNUMBER(AR71/AH71*100),ROUND(AR71/AH71*100,0),"")</f>
        <v/>
      </c>
      <c r="O71" s="31">
        <f t="shared" si="36"/>
        <v>5</v>
      </c>
      <c r="P71" s="31" t="str">
        <f t="shared" si="37"/>
        <v/>
      </c>
      <c r="Q71" s="31" t="str">
        <f>IF(ISNUMBER(AV71),ROUND(AV71,0),"")</f>
        <v/>
      </c>
      <c r="R71" s="31">
        <f t="shared" ref="R71:R85" si="47">IF(ISNUMBER(AW71),ROUND(AW71,0),"")</f>
        <v>5</v>
      </c>
      <c r="S71" s="320"/>
      <c r="T71" s="145"/>
      <c r="U71" s="145"/>
      <c r="V71" s="145"/>
      <c r="W71" s="145"/>
      <c r="X71" s="4"/>
      <c r="Y71" s="69" t="s">
        <v>190</v>
      </c>
      <c r="AA71" s="326">
        <v>10</v>
      </c>
      <c r="AB71" s="326">
        <f t="shared" si="17"/>
        <v>485</v>
      </c>
      <c r="AC71" s="326">
        <v>495</v>
      </c>
      <c r="AD71" s="326"/>
      <c r="AE71" s="326"/>
      <c r="AF71" s="326">
        <f>12+13+1</f>
        <v>26</v>
      </c>
      <c r="AG71" s="326"/>
      <c r="AH71" s="326"/>
      <c r="AI71" s="326">
        <f>206+194+46+1+11+1</f>
        <v>459</v>
      </c>
      <c r="AK71" s="326">
        <v>0</v>
      </c>
      <c r="AL71" s="326">
        <f t="shared" si="18"/>
        <v>22</v>
      </c>
      <c r="AM71" s="326">
        <v>22</v>
      </c>
      <c r="AN71" s="326"/>
      <c r="AO71" s="326"/>
      <c r="AP71" s="326">
        <v>1</v>
      </c>
      <c r="AQ71" s="326"/>
      <c r="AR71" s="326"/>
      <c r="AS71" s="326">
        <f>5+13+1+1+1</f>
        <v>21</v>
      </c>
      <c r="AU71" s="327" t="str">
        <f t="shared" si="44"/>
        <v/>
      </c>
      <c r="AV71" s="327" t="str">
        <f t="shared" si="45"/>
        <v/>
      </c>
      <c r="AW71" s="327">
        <f t="shared" si="46"/>
        <v>4.536082474226804</v>
      </c>
      <c r="AY71" s="329" t="s">
        <v>191</v>
      </c>
      <c r="DZ71"/>
      <c r="EA71"/>
    </row>
    <row r="72" spans="1:131" ht="14.25" customHeight="1">
      <c r="A72" s="24">
        <v>68</v>
      </c>
      <c r="B72" s="165" t="s">
        <v>48</v>
      </c>
      <c r="C72" s="130" t="s">
        <v>192</v>
      </c>
      <c r="D72" s="45">
        <v>24</v>
      </c>
      <c r="E72" s="27">
        <v>0.98</v>
      </c>
      <c r="F72" s="146"/>
      <c r="G72" s="46">
        <v>38</v>
      </c>
      <c r="H72" s="29">
        <v>20</v>
      </c>
      <c r="I72" s="30">
        <v>22</v>
      </c>
      <c r="J72" s="31">
        <f t="shared" si="43"/>
        <v>0</v>
      </c>
      <c r="K72" s="31">
        <f t="shared" si="42"/>
        <v>0</v>
      </c>
      <c r="L72" s="31">
        <f t="shared" si="28"/>
        <v>0</v>
      </c>
      <c r="M72" s="31">
        <f t="shared" si="29"/>
        <v>45</v>
      </c>
      <c r="N72" s="31"/>
      <c r="O72" s="31">
        <f t="shared" si="36"/>
        <v>46</v>
      </c>
      <c r="P72" s="31">
        <f t="shared" si="37"/>
        <v>19</v>
      </c>
      <c r="Q72" s="31"/>
      <c r="R72" s="31">
        <f t="shared" si="47"/>
        <v>20</v>
      </c>
      <c r="S72" s="78" t="s">
        <v>76</v>
      </c>
      <c r="T72" s="33"/>
      <c r="U72" s="33"/>
      <c r="V72" s="33"/>
      <c r="W72" s="62" t="s">
        <v>75</v>
      </c>
      <c r="X72" s="4"/>
      <c r="Y72" s="49" t="s">
        <v>193</v>
      </c>
      <c r="AA72" s="326">
        <v>21</v>
      </c>
      <c r="AB72" s="326">
        <f t="shared" si="17"/>
        <v>182</v>
      </c>
      <c r="AC72" s="326">
        <v>203</v>
      </c>
      <c r="AD72" s="326">
        <v>100</v>
      </c>
      <c r="AE72" s="326">
        <v>2</v>
      </c>
      <c r="AF72" s="326">
        <f>IF((AD72+AE72&gt;0),AD72+AE72,"")</f>
        <v>102</v>
      </c>
      <c r="AG72" s="326">
        <v>75</v>
      </c>
      <c r="AH72" s="326">
        <v>3</v>
      </c>
      <c r="AI72" s="326">
        <f>IF((AG72+AH72&gt;0),AG72+AH72,"")</f>
        <v>78</v>
      </c>
      <c r="AK72" s="326">
        <v>8</v>
      </c>
      <c r="AL72" s="326">
        <f t="shared" si="18"/>
        <v>36</v>
      </c>
      <c r="AM72" s="326">
        <v>44</v>
      </c>
      <c r="AN72" s="326">
        <v>0</v>
      </c>
      <c r="AO72" s="326">
        <v>0</v>
      </c>
      <c r="AP72" s="326">
        <f>AN72+AO72</f>
        <v>0</v>
      </c>
      <c r="AQ72" s="326">
        <v>34</v>
      </c>
      <c r="AR72" s="326">
        <v>2</v>
      </c>
      <c r="AS72" s="326">
        <f>AQ72+AR72</f>
        <v>36</v>
      </c>
      <c r="AU72" s="327">
        <f t="shared" si="44"/>
        <v>19.428571428571427</v>
      </c>
      <c r="AV72" s="327">
        <f t="shared" si="45"/>
        <v>40</v>
      </c>
      <c r="AW72" s="327">
        <f t="shared" si="46"/>
        <v>20</v>
      </c>
      <c r="AY72" s="328" t="s">
        <v>194</v>
      </c>
      <c r="DZ72"/>
      <c r="EA72"/>
    </row>
    <row r="73" spans="1:131" ht="14.25" customHeight="1">
      <c r="A73" s="24">
        <v>69</v>
      </c>
      <c r="B73" s="165" t="s">
        <v>48</v>
      </c>
      <c r="C73" s="443" t="s">
        <v>192</v>
      </c>
      <c r="D73" s="37">
        <v>40</v>
      </c>
      <c r="E73" s="38">
        <v>1.67</v>
      </c>
      <c r="F73" s="59">
        <v>580</v>
      </c>
      <c r="G73" s="60"/>
      <c r="H73" s="61">
        <v>2</v>
      </c>
      <c r="I73" s="47">
        <v>2</v>
      </c>
      <c r="J73" s="31">
        <f t="shared" si="43"/>
        <v>0</v>
      </c>
      <c r="K73" s="31">
        <f t="shared" si="42"/>
        <v>0</v>
      </c>
      <c r="L73" s="31">
        <f t="shared" si="28"/>
        <v>0</v>
      </c>
      <c r="M73" s="357">
        <f t="shared" si="29"/>
        <v>17</v>
      </c>
      <c r="N73" s="31"/>
      <c r="O73" s="357">
        <f t="shared" si="36"/>
        <v>18</v>
      </c>
      <c r="P73" s="31">
        <f t="shared" si="37"/>
        <v>1</v>
      </c>
      <c r="Q73" s="31"/>
      <c r="R73" s="31">
        <f t="shared" si="47"/>
        <v>2</v>
      </c>
      <c r="S73" s="78" t="s">
        <v>85</v>
      </c>
      <c r="T73" s="78"/>
      <c r="U73" s="78"/>
      <c r="V73" s="78"/>
      <c r="W73" s="78"/>
      <c r="X73" s="4"/>
      <c r="Y73" s="43" t="s">
        <v>195</v>
      </c>
      <c r="AA73" s="326">
        <v>2</v>
      </c>
      <c r="AB73" s="326">
        <f t="shared" si="17"/>
        <v>343</v>
      </c>
      <c r="AC73" s="326">
        <v>345</v>
      </c>
      <c r="AD73" s="326">
        <v>311</v>
      </c>
      <c r="AE73" s="326">
        <v>2</v>
      </c>
      <c r="AF73" s="326">
        <f>IF((AD73+AE73&gt;0),AD73+AE73,"")</f>
        <v>313</v>
      </c>
      <c r="AG73" s="326">
        <v>24</v>
      </c>
      <c r="AH73" s="326">
        <v>4</v>
      </c>
      <c r="AI73" s="326">
        <f>IF((AG73+AH73&gt;0),AG73+AH73,"")</f>
        <v>28</v>
      </c>
      <c r="AK73" s="326">
        <v>0</v>
      </c>
      <c r="AL73" s="326">
        <f t="shared" si="18"/>
        <v>6</v>
      </c>
      <c r="AM73" s="326">
        <v>6</v>
      </c>
      <c r="AN73" s="326">
        <v>1</v>
      </c>
      <c r="AO73" s="326">
        <v>0</v>
      </c>
      <c r="AP73" s="326">
        <f>AN73+AO73</f>
        <v>1</v>
      </c>
      <c r="AQ73" s="326">
        <v>4</v>
      </c>
      <c r="AR73" s="326">
        <v>1</v>
      </c>
      <c r="AS73" s="326">
        <f>AQ73+AR73</f>
        <v>5</v>
      </c>
      <c r="AU73" s="327">
        <f t="shared" si="44"/>
        <v>1.4925373134328357</v>
      </c>
      <c r="AV73" s="327">
        <f t="shared" si="45"/>
        <v>16.666666666666664</v>
      </c>
      <c r="AW73" s="327">
        <f t="shared" si="46"/>
        <v>1.7595307917888565</v>
      </c>
      <c r="AY73" s="328" t="s">
        <v>194</v>
      </c>
      <c r="DZ73"/>
      <c r="EA73"/>
    </row>
    <row r="74" spans="1:131" ht="14.25" customHeight="1">
      <c r="A74" s="24">
        <v>70</v>
      </c>
      <c r="B74" s="165" t="s">
        <v>48</v>
      </c>
      <c r="C74" s="444" t="s">
        <v>192</v>
      </c>
      <c r="D74" s="37">
        <v>60</v>
      </c>
      <c r="E74" s="51">
        <v>2.7</v>
      </c>
      <c r="F74" s="59">
        <v>500</v>
      </c>
      <c r="G74" s="60"/>
      <c r="H74" s="60"/>
      <c r="I74" s="48"/>
      <c r="J74" s="31" t="str">
        <f t="shared" si="43"/>
        <v/>
      </c>
      <c r="K74" s="31" t="str">
        <f t="shared" si="42"/>
        <v/>
      </c>
      <c r="L74" s="31" t="str">
        <f t="shared" si="28"/>
        <v/>
      </c>
      <c r="M74" s="31" t="str">
        <f t="shared" si="29"/>
        <v/>
      </c>
      <c r="N74" s="31" t="str">
        <f t="shared" ref="N74:N79" si="48">IF(ISNUMBER(AR74/AH74*100),ROUND(AR74/AH74*100,0),"")</f>
        <v/>
      </c>
      <c r="O74" s="31" t="str">
        <f t="shared" si="36"/>
        <v/>
      </c>
      <c r="P74" s="31" t="str">
        <f t="shared" si="37"/>
        <v/>
      </c>
      <c r="Q74" s="31" t="str">
        <f t="shared" ref="Q74:Q85" si="49">IF(ISNUMBER(AV74),ROUND(AV74,0),"")</f>
        <v/>
      </c>
      <c r="R74" s="31" t="str">
        <f t="shared" si="47"/>
        <v/>
      </c>
      <c r="S74" s="78"/>
      <c r="T74" s="78"/>
      <c r="U74" s="78"/>
      <c r="V74" s="78"/>
      <c r="W74" s="78"/>
      <c r="X74" s="4"/>
      <c r="Y74" s="54" t="s">
        <v>196</v>
      </c>
      <c r="AA74" s="326"/>
      <c r="AB74" s="326"/>
      <c r="AC74" s="326"/>
      <c r="AD74" s="326"/>
      <c r="AE74" s="326"/>
      <c r="AF74" s="326" t="str">
        <f>IF((AD74+AE74&gt;0),AD74+AE74,"")</f>
        <v/>
      </c>
      <c r="AG74" s="326"/>
      <c r="AH74" s="326"/>
      <c r="AI74" s="326" t="str">
        <f>IF((AG74+AH74&gt;0),AG74+AH74,"")</f>
        <v/>
      </c>
      <c r="AK74" s="326">
        <v>5</v>
      </c>
      <c r="AL74" s="326">
        <f t="shared" si="18"/>
        <v>19</v>
      </c>
      <c r="AM74" s="326">
        <v>24</v>
      </c>
      <c r="AN74" s="326"/>
      <c r="AO74" s="326"/>
      <c r="AP74" s="326"/>
      <c r="AQ74" s="326"/>
      <c r="AR74" s="326"/>
      <c r="AS74" s="326">
        <v>19</v>
      </c>
      <c r="AU74" s="327" t="str">
        <f t="shared" si="44"/>
        <v/>
      </c>
      <c r="AV74" s="327" t="str">
        <f t="shared" si="45"/>
        <v/>
      </c>
      <c r="AW74" s="327" t="str">
        <f t="shared" si="46"/>
        <v/>
      </c>
      <c r="AY74" s="329" t="s">
        <v>197</v>
      </c>
      <c r="DZ74"/>
      <c r="EA74"/>
    </row>
    <row r="75" spans="1:131" ht="14.25" customHeight="1">
      <c r="A75" s="24">
        <v>71</v>
      </c>
      <c r="B75" s="165" t="s">
        <v>48</v>
      </c>
      <c r="C75" s="373" t="s">
        <v>192</v>
      </c>
      <c r="D75" s="58">
        <v>76</v>
      </c>
      <c r="E75" s="38"/>
      <c r="F75" s="147"/>
      <c r="G75" s="86">
        <v>0</v>
      </c>
      <c r="H75" s="61">
        <v>1</v>
      </c>
      <c r="I75" s="61">
        <v>1</v>
      </c>
      <c r="J75" s="31">
        <f t="shared" si="43"/>
        <v>0</v>
      </c>
      <c r="K75" s="31">
        <f t="shared" si="42"/>
        <v>0</v>
      </c>
      <c r="L75" s="31">
        <f t="shared" si="28"/>
        <v>0</v>
      </c>
      <c r="M75" s="31">
        <f t="shared" si="29"/>
        <v>3</v>
      </c>
      <c r="N75" s="31">
        <f t="shared" si="48"/>
        <v>0</v>
      </c>
      <c r="O75" s="31">
        <f t="shared" si="36"/>
        <v>3</v>
      </c>
      <c r="P75" s="31">
        <f t="shared" si="37"/>
        <v>1</v>
      </c>
      <c r="Q75" s="31">
        <f t="shared" si="49"/>
        <v>0</v>
      </c>
      <c r="R75" s="31">
        <f t="shared" si="47"/>
        <v>1</v>
      </c>
      <c r="S75" s="78"/>
      <c r="T75" s="78"/>
      <c r="U75" s="78"/>
      <c r="V75" s="78"/>
      <c r="W75" s="78"/>
      <c r="X75" s="4"/>
      <c r="Y75" s="56" t="s">
        <v>198</v>
      </c>
      <c r="AA75" s="326">
        <v>10</v>
      </c>
      <c r="AB75" s="326">
        <f>AC75-AA75</f>
        <v>532</v>
      </c>
      <c r="AC75" s="326">
        <f>458+2+70+2+1+9</f>
        <v>542</v>
      </c>
      <c r="AD75" s="326">
        <v>458</v>
      </c>
      <c r="AE75" s="326">
        <v>2</v>
      </c>
      <c r="AF75" s="326">
        <f>IF((AD75+AE75&gt;0),AD75+AE75,"")</f>
        <v>460</v>
      </c>
      <c r="AG75" s="326">
        <v>70</v>
      </c>
      <c r="AH75" s="326">
        <v>2</v>
      </c>
      <c r="AI75" s="326">
        <f>IF((AG75+AH75&gt;0),AG75+AH75,"")</f>
        <v>72</v>
      </c>
      <c r="AK75" s="326">
        <v>0</v>
      </c>
      <c r="AL75" s="326">
        <f t="shared" si="18"/>
        <v>3</v>
      </c>
      <c r="AM75" s="326">
        <v>3</v>
      </c>
      <c r="AN75" s="326">
        <v>1</v>
      </c>
      <c r="AO75" s="326">
        <v>0</v>
      </c>
      <c r="AP75" s="326">
        <f>AN75+AO75</f>
        <v>1</v>
      </c>
      <c r="AQ75" s="326">
        <v>2</v>
      </c>
      <c r="AR75" s="326">
        <v>0</v>
      </c>
      <c r="AS75" s="326">
        <f>AQ75+AR75</f>
        <v>2</v>
      </c>
      <c r="AU75" s="327">
        <f t="shared" si="44"/>
        <v>0.56818181818181823</v>
      </c>
      <c r="AV75" s="327">
        <f t="shared" si="45"/>
        <v>0</v>
      </c>
      <c r="AW75" s="327">
        <f t="shared" si="46"/>
        <v>0.56390977443609014</v>
      </c>
      <c r="AY75" s="328" t="s">
        <v>199</v>
      </c>
      <c r="DZ75"/>
      <c r="EA75"/>
    </row>
    <row r="76" spans="1:131" ht="14.25" customHeight="1">
      <c r="A76" s="24">
        <v>72</v>
      </c>
      <c r="B76" s="165" t="s">
        <v>48</v>
      </c>
      <c r="C76" s="443" t="s">
        <v>192</v>
      </c>
      <c r="D76" s="37">
        <v>120</v>
      </c>
      <c r="E76" s="38">
        <v>0.1</v>
      </c>
      <c r="F76" s="59"/>
      <c r="G76" s="60"/>
      <c r="H76" s="61">
        <v>17</v>
      </c>
      <c r="I76" s="47">
        <v>18</v>
      </c>
      <c r="J76" s="31">
        <f t="shared" si="43"/>
        <v>5</v>
      </c>
      <c r="K76" s="357">
        <f t="shared" si="42"/>
        <v>57</v>
      </c>
      <c r="L76" s="31">
        <f t="shared" si="28"/>
        <v>7</v>
      </c>
      <c r="M76" s="31">
        <f t="shared" si="29"/>
        <v>18</v>
      </c>
      <c r="N76" s="31">
        <f t="shared" si="48"/>
        <v>42</v>
      </c>
      <c r="O76" s="31">
        <f t="shared" si="36"/>
        <v>20</v>
      </c>
      <c r="P76" s="31">
        <f t="shared" si="37"/>
        <v>15</v>
      </c>
      <c r="Q76" s="31">
        <f t="shared" si="49"/>
        <v>43</v>
      </c>
      <c r="R76" s="31">
        <f t="shared" si="47"/>
        <v>18</v>
      </c>
      <c r="S76" s="78" t="s">
        <v>77</v>
      </c>
      <c r="T76" s="78"/>
      <c r="U76" s="78"/>
      <c r="V76" s="78"/>
      <c r="W76" s="62" t="s">
        <v>94</v>
      </c>
      <c r="X76" s="4"/>
      <c r="Y76" s="43" t="s">
        <v>200</v>
      </c>
      <c r="AA76" s="326">
        <v>9</v>
      </c>
      <c r="AB76" s="326">
        <f t="shared" si="17"/>
        <v>6019</v>
      </c>
      <c r="AC76" s="326">
        <v>6028</v>
      </c>
      <c r="AD76" s="326">
        <v>1062</v>
      </c>
      <c r="AE76" s="326">
        <v>28</v>
      </c>
      <c r="AF76" s="326">
        <f>IF((AD76+AE76&gt;0),AD76+AE76,"")</f>
        <v>1090</v>
      </c>
      <c r="AG76" s="326">
        <v>4492</v>
      </c>
      <c r="AH76" s="326">
        <v>418</v>
      </c>
      <c r="AI76" s="326">
        <f>IF((AG76+AH76&gt;0),AG76+AH76,"")</f>
        <v>4910</v>
      </c>
      <c r="AK76" s="326">
        <v>2</v>
      </c>
      <c r="AL76" s="326">
        <f t="shared" si="18"/>
        <v>1053</v>
      </c>
      <c r="AM76" s="326">
        <v>1055</v>
      </c>
      <c r="AN76" s="326">
        <v>55</v>
      </c>
      <c r="AO76" s="326">
        <v>16</v>
      </c>
      <c r="AP76" s="326">
        <f>AN76+AO76</f>
        <v>71</v>
      </c>
      <c r="AQ76" s="326">
        <v>805</v>
      </c>
      <c r="AR76" s="326">
        <v>176</v>
      </c>
      <c r="AS76" s="326">
        <f>AQ76+AR76</f>
        <v>981</v>
      </c>
      <c r="AU76" s="327">
        <f t="shared" si="44"/>
        <v>15.484335613971911</v>
      </c>
      <c r="AV76" s="327">
        <f t="shared" si="45"/>
        <v>43.049327354260093</v>
      </c>
      <c r="AW76" s="327">
        <f t="shared" si="46"/>
        <v>17.533333333333335</v>
      </c>
      <c r="AY76" s="328" t="s">
        <v>194</v>
      </c>
      <c r="DZ76"/>
      <c r="EA76"/>
    </row>
    <row r="77" spans="1:131" ht="14.25" customHeight="1">
      <c r="A77" s="24">
        <v>73</v>
      </c>
      <c r="B77" s="165" t="s">
        <v>48</v>
      </c>
      <c r="C77" s="444" t="s">
        <v>192</v>
      </c>
      <c r="D77" s="148">
        <v>200</v>
      </c>
      <c r="E77" s="38">
        <v>0.6</v>
      </c>
      <c r="F77" s="59">
        <v>165</v>
      </c>
      <c r="G77" s="61">
        <v>8</v>
      </c>
      <c r="H77" s="61">
        <v>100</v>
      </c>
      <c r="I77" s="47">
        <v>100</v>
      </c>
      <c r="J77" s="31" t="str">
        <f t="shared" si="43"/>
        <v/>
      </c>
      <c r="K77" s="31" t="str">
        <f t="shared" si="42"/>
        <v/>
      </c>
      <c r="L77" s="31" t="str">
        <f t="shared" si="28"/>
        <v/>
      </c>
      <c r="M77" s="31" t="str">
        <f t="shared" si="29"/>
        <v/>
      </c>
      <c r="N77" s="31" t="str">
        <f t="shared" si="48"/>
        <v/>
      </c>
      <c r="O77" s="31" t="str">
        <f t="shared" si="36"/>
        <v/>
      </c>
      <c r="P77" s="31" t="str">
        <f t="shared" si="37"/>
        <v/>
      </c>
      <c r="Q77" s="31" t="str">
        <f t="shared" si="49"/>
        <v/>
      </c>
      <c r="R77" s="31" t="str">
        <f t="shared" si="47"/>
        <v/>
      </c>
      <c r="S77" s="78"/>
      <c r="T77" s="78"/>
      <c r="U77" s="78"/>
      <c r="V77" s="78"/>
      <c r="W77" s="78"/>
      <c r="X77" s="4"/>
      <c r="Y77" s="54" t="s">
        <v>201</v>
      </c>
      <c r="AA77" s="326"/>
      <c r="AB77" s="326"/>
      <c r="AC77" s="326"/>
      <c r="AD77" s="326"/>
      <c r="AE77" s="326"/>
      <c r="AF77" s="326"/>
      <c r="AG77" s="326"/>
      <c r="AH77" s="326"/>
      <c r="AI77" s="326"/>
      <c r="AK77" s="326"/>
      <c r="AL77" s="326"/>
      <c r="AM77" s="326"/>
      <c r="AN77" s="326"/>
      <c r="AO77" s="326"/>
      <c r="AP77" s="326"/>
      <c r="AQ77" s="326"/>
      <c r="AR77" s="326"/>
      <c r="AS77" s="326"/>
      <c r="AU77" s="327" t="str">
        <f t="shared" si="44"/>
        <v/>
      </c>
      <c r="AV77" s="327" t="str">
        <f t="shared" si="45"/>
        <v/>
      </c>
      <c r="AW77" s="327" t="str">
        <f t="shared" si="46"/>
        <v/>
      </c>
      <c r="AY77" s="329" t="s">
        <v>202</v>
      </c>
      <c r="DZ77"/>
      <c r="EA77"/>
    </row>
    <row r="78" spans="1:131" ht="14.25" customHeight="1" thickBot="1">
      <c r="A78" s="24">
        <v>74</v>
      </c>
      <c r="B78" s="165" t="s">
        <v>48</v>
      </c>
      <c r="C78" s="445" t="s">
        <v>222</v>
      </c>
      <c r="D78" s="149">
        <v>3000</v>
      </c>
      <c r="E78" s="128" t="s">
        <v>217</v>
      </c>
      <c r="F78" s="150">
        <v>64</v>
      </c>
      <c r="G78" s="31">
        <f>IF(ISNUMBER(AK78/AA78*100),ROUND(AK78/AA78*100,0),"")</f>
        <v>41</v>
      </c>
      <c r="H78" s="31">
        <f>IF(ISNUMBER(AL78/AB78*100),ROUND(AL78/AB78*100,0),"")</f>
        <v>1</v>
      </c>
      <c r="I78" s="31">
        <f>IF(ISNUMBER(AM78/AC78*100),ROUND(AM78/AC78*100,0),"")</f>
        <v>3</v>
      </c>
      <c r="J78" s="31" t="str">
        <f t="shared" si="43"/>
        <v/>
      </c>
      <c r="K78" s="31" t="str">
        <f t="shared" si="42"/>
        <v/>
      </c>
      <c r="L78" s="31" t="str">
        <f t="shared" si="28"/>
        <v/>
      </c>
      <c r="M78" s="31" t="str">
        <f t="shared" si="29"/>
        <v/>
      </c>
      <c r="N78" s="31" t="str">
        <f t="shared" si="48"/>
        <v/>
      </c>
      <c r="O78" s="31" t="str">
        <f t="shared" si="36"/>
        <v/>
      </c>
      <c r="P78" s="31">
        <f t="shared" si="37"/>
        <v>1</v>
      </c>
      <c r="Q78" s="31">
        <f t="shared" si="49"/>
        <v>6</v>
      </c>
      <c r="R78" s="31">
        <f t="shared" si="47"/>
        <v>3</v>
      </c>
      <c r="S78" s="151"/>
      <c r="T78" s="151"/>
      <c r="U78" s="151"/>
      <c r="V78" s="151"/>
      <c r="W78" s="151"/>
      <c r="X78" s="4"/>
      <c r="Y78" s="70" t="s">
        <v>203</v>
      </c>
      <c r="AA78" s="326">
        <v>251</v>
      </c>
      <c r="AB78" s="326">
        <f t="shared" si="17"/>
        <v>4543</v>
      </c>
      <c r="AC78" s="326">
        <v>4794</v>
      </c>
      <c r="AD78" s="326"/>
      <c r="AE78" s="326"/>
      <c r="AF78" s="326"/>
      <c r="AG78" s="326"/>
      <c r="AH78" s="326"/>
      <c r="AI78" s="326"/>
      <c r="AK78" s="326">
        <v>102</v>
      </c>
      <c r="AL78" s="326">
        <v>37</v>
      </c>
      <c r="AM78" s="326">
        <v>139</v>
      </c>
      <c r="AN78" s="326"/>
      <c r="AO78" s="326"/>
      <c r="AP78" s="326"/>
      <c r="AQ78" s="326"/>
      <c r="AR78" s="326"/>
      <c r="AS78" s="326"/>
      <c r="AU78" s="327">
        <f>8/625*100</f>
        <v>1.28</v>
      </c>
      <c r="AV78" s="327">
        <f>15/250*100</f>
        <v>6</v>
      </c>
      <c r="AW78" s="327">
        <f>23/875*100</f>
        <v>2.6285714285714286</v>
      </c>
      <c r="AY78" s="328" t="s">
        <v>204</v>
      </c>
      <c r="DZ78"/>
      <c r="EA78"/>
    </row>
    <row r="79" spans="1:131" s="35" customFormat="1" ht="15.75" customHeight="1">
      <c r="A79" s="24">
        <v>75</v>
      </c>
      <c r="B79" s="165" t="s">
        <v>48</v>
      </c>
      <c r="C79" s="373" t="s">
        <v>205</v>
      </c>
      <c r="D79" s="58">
        <v>30</v>
      </c>
      <c r="E79" s="38">
        <v>1.35</v>
      </c>
      <c r="F79" s="59">
        <v>900</v>
      </c>
      <c r="G79" s="61">
        <v>100</v>
      </c>
      <c r="H79" s="47">
        <v>29</v>
      </c>
      <c r="I79" s="47">
        <v>29</v>
      </c>
      <c r="J79" s="31">
        <f t="shared" si="43"/>
        <v>29</v>
      </c>
      <c r="K79" s="31" t="str">
        <f t="shared" si="42"/>
        <v/>
      </c>
      <c r="L79" s="31">
        <f t="shared" si="28"/>
        <v>29</v>
      </c>
      <c r="M79" s="31" t="str">
        <f t="shared" si="29"/>
        <v/>
      </c>
      <c r="N79" s="31" t="str">
        <f t="shared" si="48"/>
        <v/>
      </c>
      <c r="O79" s="31" t="str">
        <f t="shared" si="36"/>
        <v/>
      </c>
      <c r="P79" s="344">
        <f t="shared" si="37"/>
        <v>29</v>
      </c>
      <c r="Q79" s="31" t="str">
        <f t="shared" si="49"/>
        <v/>
      </c>
      <c r="R79" s="31">
        <f t="shared" si="47"/>
        <v>29</v>
      </c>
      <c r="S79" s="133"/>
      <c r="T79" s="32"/>
      <c r="U79" s="32"/>
      <c r="V79" s="32"/>
      <c r="W79" s="32"/>
      <c r="X79" s="4"/>
      <c r="Y79" s="56" t="s">
        <v>206</v>
      </c>
      <c r="Z79" s="4"/>
      <c r="AA79" s="326">
        <v>19</v>
      </c>
      <c r="AB79" s="326">
        <f>AC79-AA79</f>
        <v>1484</v>
      </c>
      <c r="AC79" s="326">
        <f>1061+442</f>
        <v>1503</v>
      </c>
      <c r="AD79" s="326">
        <v>1484</v>
      </c>
      <c r="AE79" s="326">
        <v>0</v>
      </c>
      <c r="AF79" s="326">
        <f>AD79+AE79</f>
        <v>1484</v>
      </c>
      <c r="AG79" s="326">
        <v>0</v>
      </c>
      <c r="AH79" s="326">
        <v>0</v>
      </c>
      <c r="AI79" s="326">
        <f>AG79+AH79</f>
        <v>0</v>
      </c>
      <c r="AJ79" s="4"/>
      <c r="AK79" s="326">
        <v>19</v>
      </c>
      <c r="AL79" s="326">
        <f t="shared" ref="AL79:AL86" si="50">AM79-AK79</f>
        <v>423</v>
      </c>
      <c r="AM79" s="326">
        <v>442</v>
      </c>
      <c r="AN79" s="326">
        <v>423</v>
      </c>
      <c r="AO79" s="326"/>
      <c r="AP79" s="326">
        <v>423</v>
      </c>
      <c r="AQ79" s="326"/>
      <c r="AR79" s="326"/>
      <c r="AS79" s="326"/>
      <c r="AT79" s="4"/>
      <c r="AU79" s="327">
        <f t="shared" ref="AU79:AW86" si="51">IF(ISNUMBER((SUM(AN79,AQ79)/SUM(AD79,AG79))*100),(SUM(AN79,AQ79)/SUM(AD79,AG79))*100,"")</f>
        <v>28.504043126684635</v>
      </c>
      <c r="AV79" s="327" t="str">
        <f t="shared" si="51"/>
        <v/>
      </c>
      <c r="AW79" s="327">
        <f t="shared" si="51"/>
        <v>28.504043126684635</v>
      </c>
      <c r="AX79" s="4"/>
      <c r="AY79" s="328" t="s">
        <v>142</v>
      </c>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4"/>
      <c r="CW79" s="4"/>
      <c r="CX79" s="4"/>
      <c r="CY79" s="4"/>
      <c r="CZ79" s="4"/>
      <c r="DA79" s="4"/>
      <c r="DB79" s="4"/>
      <c r="DC79" s="4"/>
      <c r="DD79" s="4"/>
      <c r="DE79" s="4"/>
      <c r="DF79" s="4"/>
      <c r="DG79" s="4"/>
      <c r="DH79" s="4"/>
      <c r="DI79" s="4"/>
      <c r="DJ79" s="4"/>
      <c r="DK79" s="4"/>
      <c r="DL79" s="4"/>
      <c r="DM79" s="4"/>
      <c r="DN79" s="4"/>
      <c r="DO79" s="4"/>
      <c r="DP79" s="4"/>
      <c r="DQ79" s="4"/>
      <c r="DR79" s="4"/>
      <c r="DS79" s="4"/>
      <c r="DT79" s="4"/>
      <c r="DU79" s="4"/>
      <c r="DV79" s="4"/>
      <c r="DW79" s="4"/>
      <c r="DX79" s="4"/>
      <c r="DY79" s="4"/>
    </row>
    <row r="80" spans="1:131" s="35" customFormat="1" ht="15.75" customHeight="1" thickBot="1">
      <c r="A80" s="24">
        <v>76</v>
      </c>
      <c r="B80" s="165" t="s">
        <v>48</v>
      </c>
      <c r="C80" s="446" t="s">
        <v>205</v>
      </c>
      <c r="D80" s="152">
        <v>400</v>
      </c>
      <c r="E80" s="27" t="s">
        <v>207</v>
      </c>
      <c r="F80" s="85"/>
      <c r="G80" s="61">
        <v>100</v>
      </c>
      <c r="H80" s="47">
        <v>52</v>
      </c>
      <c r="I80" s="47">
        <v>58</v>
      </c>
      <c r="J80" s="31"/>
      <c r="K80" s="31"/>
      <c r="L80" s="31"/>
      <c r="M80" s="31">
        <f t="shared" ref="M80:M86" si="52">IF(ISNUMBER(AQ80/AG80*100),ROUND(AQ80/AG80*100,0),"")</f>
        <v>47</v>
      </c>
      <c r="N80" s="31"/>
      <c r="O80" s="31">
        <f t="shared" si="36"/>
        <v>49</v>
      </c>
      <c r="P80" s="344">
        <f t="shared" si="37"/>
        <v>47</v>
      </c>
      <c r="Q80" s="344">
        <f t="shared" si="49"/>
        <v>64</v>
      </c>
      <c r="R80" s="31">
        <f t="shared" si="47"/>
        <v>49</v>
      </c>
      <c r="S80" s="318"/>
      <c r="T80" s="72"/>
      <c r="U80" s="72"/>
      <c r="V80" s="72"/>
      <c r="W80" s="72"/>
      <c r="X80" s="4"/>
      <c r="Y80" s="77" t="s">
        <v>373</v>
      </c>
      <c r="Z80" s="4"/>
      <c r="AA80" s="326">
        <v>19</v>
      </c>
      <c r="AB80" s="326">
        <f t="shared" si="17"/>
        <v>127</v>
      </c>
      <c r="AC80" s="326">
        <f>19+127</f>
        <v>146</v>
      </c>
      <c r="AD80" s="326">
        <v>4</v>
      </c>
      <c r="AE80" s="326">
        <v>8</v>
      </c>
      <c r="AF80" s="326">
        <f>1+1+4+3+3</f>
        <v>12</v>
      </c>
      <c r="AG80" s="326">
        <v>104</v>
      </c>
      <c r="AH80" s="326">
        <v>3</v>
      </c>
      <c r="AI80" s="326">
        <f>2+51+1+1+2+46+4</f>
        <v>107</v>
      </c>
      <c r="AJ80" s="4"/>
      <c r="AK80" s="326">
        <v>19</v>
      </c>
      <c r="AL80" s="326">
        <f t="shared" si="50"/>
        <v>66</v>
      </c>
      <c r="AM80" s="326">
        <v>85</v>
      </c>
      <c r="AN80" s="326">
        <v>2</v>
      </c>
      <c r="AO80" s="326">
        <v>4</v>
      </c>
      <c r="AP80" s="326">
        <f>3+3</f>
        <v>6</v>
      </c>
      <c r="AQ80" s="326">
        <v>49</v>
      </c>
      <c r="AR80" s="326">
        <v>3</v>
      </c>
      <c r="AS80" s="326">
        <f>2+46+4</f>
        <v>52</v>
      </c>
      <c r="AT80" s="4"/>
      <c r="AU80" s="327">
        <f t="shared" si="51"/>
        <v>47.222222222222221</v>
      </c>
      <c r="AV80" s="327">
        <f t="shared" si="51"/>
        <v>63.636363636363633</v>
      </c>
      <c r="AW80" s="327">
        <f t="shared" si="51"/>
        <v>48.739495798319325</v>
      </c>
      <c r="AX80" s="4"/>
      <c r="AY80" s="328" t="s">
        <v>142</v>
      </c>
      <c r="AZ80" s="4"/>
      <c r="BA80" s="4"/>
      <c r="BB80" s="4"/>
      <c r="BC80" s="4"/>
      <c r="BD80" s="4"/>
      <c r="BE80" s="4"/>
      <c r="BF80" s="4"/>
      <c r="BG80" s="4"/>
      <c r="BH80" s="4"/>
      <c r="BI80" s="4"/>
      <c r="BJ80" s="4"/>
      <c r="BK80" s="4"/>
      <c r="BL80" s="4"/>
      <c r="BM80" s="4"/>
      <c r="BN80" s="4"/>
      <c r="BO80" s="4"/>
      <c r="BP80" s="4"/>
      <c r="BQ80" s="4"/>
      <c r="BR80" s="4"/>
      <c r="BS80" s="4"/>
      <c r="BT80" s="4"/>
      <c r="BU80" s="4"/>
      <c r="BV80" s="4"/>
      <c r="BW80" s="4"/>
      <c r="BX80" s="4"/>
      <c r="BY80" s="4"/>
      <c r="BZ80" s="4"/>
      <c r="CA80" s="4"/>
      <c r="CB80" s="4"/>
      <c r="CC80" s="4"/>
      <c r="CD80" s="4"/>
      <c r="CE80" s="4"/>
      <c r="CF80" s="4"/>
      <c r="CG80" s="4"/>
      <c r="CH80" s="4"/>
      <c r="CI80" s="4"/>
      <c r="CJ80" s="4"/>
      <c r="CK80" s="4"/>
      <c r="CL80" s="4"/>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row>
    <row r="81" spans="1:131" ht="14.25" customHeight="1" thickBot="1">
      <c r="A81" s="24">
        <v>77</v>
      </c>
      <c r="B81" s="167" t="s">
        <v>227</v>
      </c>
      <c r="C81" s="447" t="s">
        <v>208</v>
      </c>
      <c r="D81" s="153">
        <v>1920</v>
      </c>
      <c r="E81" s="154">
        <v>0.3</v>
      </c>
      <c r="F81" s="155">
        <v>6</v>
      </c>
      <c r="G81" s="156"/>
      <c r="H81" s="157">
        <v>0</v>
      </c>
      <c r="I81" s="158">
        <v>0</v>
      </c>
      <c r="J81" s="31"/>
      <c r="K81" s="31"/>
      <c r="L81" s="31"/>
      <c r="M81" s="159">
        <f t="shared" si="52"/>
        <v>0</v>
      </c>
      <c r="N81" s="31"/>
      <c r="O81" s="159">
        <f t="shared" si="36"/>
        <v>0</v>
      </c>
      <c r="P81" s="345">
        <f t="shared" si="37"/>
        <v>0</v>
      </c>
      <c r="Q81" s="345">
        <f t="shared" si="49"/>
        <v>0</v>
      </c>
      <c r="R81" s="159">
        <f t="shared" si="47"/>
        <v>0</v>
      </c>
      <c r="S81" s="151"/>
      <c r="T81" s="151"/>
      <c r="U81" s="151"/>
      <c r="V81" s="151"/>
      <c r="W81" s="151"/>
      <c r="X81" s="4"/>
      <c r="Y81" s="160" t="s">
        <v>209</v>
      </c>
      <c r="AA81" s="326">
        <v>5</v>
      </c>
      <c r="AB81" s="326">
        <f t="shared" ref="AB81:AB87" si="53">AC81-AA81</f>
        <v>20</v>
      </c>
      <c r="AC81" s="326">
        <v>25</v>
      </c>
      <c r="AD81" s="326">
        <v>2</v>
      </c>
      <c r="AE81" s="326">
        <v>2</v>
      </c>
      <c r="AF81" s="326">
        <f>4</f>
        <v>4</v>
      </c>
      <c r="AG81" s="326">
        <v>13</v>
      </c>
      <c r="AH81" s="326">
        <v>3</v>
      </c>
      <c r="AI81" s="326">
        <f>2+6+8</f>
        <v>16</v>
      </c>
      <c r="AK81" s="326">
        <v>0</v>
      </c>
      <c r="AL81" s="326">
        <f t="shared" si="50"/>
        <v>0</v>
      </c>
      <c r="AM81" s="326">
        <v>0</v>
      </c>
      <c r="AN81" s="326">
        <v>0</v>
      </c>
      <c r="AO81" s="326">
        <v>0</v>
      </c>
      <c r="AP81" s="326">
        <v>0</v>
      </c>
      <c r="AQ81" s="326">
        <v>0</v>
      </c>
      <c r="AR81" s="326">
        <v>0</v>
      </c>
      <c r="AS81" s="326">
        <v>0</v>
      </c>
      <c r="AU81" s="327">
        <f t="shared" si="51"/>
        <v>0</v>
      </c>
      <c r="AV81" s="327">
        <f t="shared" si="51"/>
        <v>0</v>
      </c>
      <c r="AW81" s="327">
        <f t="shared" si="51"/>
        <v>0</v>
      </c>
      <c r="AY81" s="328" t="s">
        <v>97</v>
      </c>
      <c r="DZ81"/>
      <c r="EA81"/>
    </row>
    <row r="82" spans="1:131" s="162" customFormat="1" ht="15.75" customHeight="1">
      <c r="A82" s="316">
        <v>78</v>
      </c>
      <c r="B82" s="355" t="s">
        <v>227</v>
      </c>
      <c r="C82" s="323" t="s">
        <v>211</v>
      </c>
      <c r="D82" s="324">
        <v>5</v>
      </c>
      <c r="E82" s="38"/>
      <c r="F82" s="38" t="s">
        <v>210</v>
      </c>
      <c r="G82" s="48"/>
      <c r="H82" s="47">
        <v>0</v>
      </c>
      <c r="I82" s="47">
        <v>0</v>
      </c>
      <c r="J82" s="48">
        <f t="shared" si="43"/>
        <v>0</v>
      </c>
      <c r="K82" s="48">
        <f t="shared" si="42"/>
        <v>0</v>
      </c>
      <c r="L82" s="48">
        <f t="shared" ref="L82:L98" si="54">IF(ISNUMBER(AP82/AF82*100),ROUND(AP82/AF82*100,0),"")</f>
        <v>0</v>
      </c>
      <c r="M82" s="48">
        <f t="shared" si="52"/>
        <v>0</v>
      </c>
      <c r="N82" s="48">
        <f>IF(ISNUMBER(AR82/AH82*100),ROUND(AR82/AH82*100,0),"")</f>
        <v>0</v>
      </c>
      <c r="O82" s="48">
        <f t="shared" si="36"/>
        <v>0</v>
      </c>
      <c r="P82" s="48">
        <f t="shared" si="37"/>
        <v>0</v>
      </c>
      <c r="Q82" s="48">
        <f t="shared" si="49"/>
        <v>0</v>
      </c>
      <c r="R82" s="48">
        <f t="shared" si="47"/>
        <v>0</v>
      </c>
      <c r="S82" s="48" t="s">
        <v>75</v>
      </c>
      <c r="T82" s="48" t="s">
        <v>77</v>
      </c>
      <c r="U82" s="48" t="s">
        <v>75</v>
      </c>
      <c r="V82" s="48" t="s">
        <v>75</v>
      </c>
      <c r="W82" s="48" t="s">
        <v>94</v>
      </c>
      <c r="X82" s="4"/>
      <c r="Y82" s="161" t="s">
        <v>211</v>
      </c>
      <c r="Z82" s="4"/>
      <c r="AA82" s="326"/>
      <c r="AB82" s="326">
        <f t="shared" si="53"/>
        <v>1562</v>
      </c>
      <c r="AC82" s="326">
        <v>1562</v>
      </c>
      <c r="AD82" s="326">
        <v>43</v>
      </c>
      <c r="AE82" s="326">
        <v>3</v>
      </c>
      <c r="AF82" s="326">
        <f>IF((AD82+AE82&gt;0),AD82+AE82,"")</f>
        <v>46</v>
      </c>
      <c r="AG82" s="326">
        <v>1492</v>
      </c>
      <c r="AH82" s="326">
        <v>22</v>
      </c>
      <c r="AI82" s="326">
        <f>IF((AG82+AH82&gt;0),AG82+AH82,"")</f>
        <v>1514</v>
      </c>
      <c r="AJ82" s="4"/>
      <c r="AK82" s="326"/>
      <c r="AL82" s="326">
        <f t="shared" si="50"/>
        <v>0</v>
      </c>
      <c r="AM82" s="326">
        <v>0</v>
      </c>
      <c r="AN82" s="326">
        <v>0</v>
      </c>
      <c r="AO82" s="326">
        <v>0</v>
      </c>
      <c r="AP82" s="326">
        <f>AN82+AO82</f>
        <v>0</v>
      </c>
      <c r="AQ82" s="326">
        <v>0</v>
      </c>
      <c r="AR82" s="326">
        <v>0</v>
      </c>
      <c r="AS82" s="326">
        <f>AQ82+AR82</f>
        <v>0</v>
      </c>
      <c r="AT82" s="4"/>
      <c r="AU82" s="327">
        <f t="shared" si="51"/>
        <v>0</v>
      </c>
      <c r="AV82" s="327">
        <f t="shared" si="51"/>
        <v>0</v>
      </c>
      <c r="AW82" s="327">
        <f t="shared" si="51"/>
        <v>0</v>
      </c>
      <c r="AX82" s="4"/>
      <c r="AY82" s="328" t="s">
        <v>74</v>
      </c>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row>
    <row r="83" spans="1:131" s="143" customFormat="1" ht="15.75" customHeight="1">
      <c r="A83" s="316">
        <v>79</v>
      </c>
      <c r="B83" s="355" t="s">
        <v>20</v>
      </c>
      <c r="C83" s="323" t="s">
        <v>326</v>
      </c>
      <c r="D83" s="324"/>
      <c r="E83" s="38"/>
      <c r="F83" s="38"/>
      <c r="G83" s="48" t="str">
        <f t="shared" ref="G83:I86" si="55">IF(ISNUMBER(AK83/AA83*100),ROUND(AK83/AA83*100,0),"")</f>
        <v/>
      </c>
      <c r="H83" s="48">
        <f t="shared" si="55"/>
        <v>0</v>
      </c>
      <c r="I83" s="48">
        <f t="shared" si="55"/>
        <v>0</v>
      </c>
      <c r="J83" s="48">
        <f t="shared" si="43"/>
        <v>1</v>
      </c>
      <c r="K83" s="48" t="str">
        <f t="shared" si="42"/>
        <v/>
      </c>
      <c r="L83" s="48">
        <f t="shared" si="54"/>
        <v>1</v>
      </c>
      <c r="M83" s="48">
        <f t="shared" si="52"/>
        <v>0</v>
      </c>
      <c r="N83" s="48">
        <f>IF(ISNUMBER(AR83/AH83*100),ROUND(AR83/AH83*100,0),"")</f>
        <v>0</v>
      </c>
      <c r="O83" s="48">
        <f t="shared" si="36"/>
        <v>0</v>
      </c>
      <c r="P83" s="48">
        <f t="shared" si="37"/>
        <v>0</v>
      </c>
      <c r="Q83" s="48">
        <f t="shared" si="49"/>
        <v>0</v>
      </c>
      <c r="R83" s="321">
        <f t="shared" si="47"/>
        <v>0</v>
      </c>
      <c r="S83" s="48"/>
      <c r="T83" s="48"/>
      <c r="U83" s="48"/>
      <c r="V83" s="48"/>
      <c r="W83" s="48"/>
      <c r="X83" s="4"/>
      <c r="Y83" s="323" t="s">
        <v>323</v>
      </c>
      <c r="Z83" s="4"/>
      <c r="AA83" s="326">
        <v>0</v>
      </c>
      <c r="AB83" s="326">
        <f t="shared" si="53"/>
        <v>9102</v>
      </c>
      <c r="AC83" s="326">
        <v>9102</v>
      </c>
      <c r="AD83" s="326">
        <v>706</v>
      </c>
      <c r="AE83" s="326">
        <v>0</v>
      </c>
      <c r="AF83" s="326">
        <v>706</v>
      </c>
      <c r="AG83" s="326">
        <v>7868</v>
      </c>
      <c r="AH83" s="326">
        <v>9</v>
      </c>
      <c r="AI83" s="326">
        <v>7877</v>
      </c>
      <c r="AJ83" s="4"/>
      <c r="AK83" s="326"/>
      <c r="AL83" s="326">
        <f t="shared" si="50"/>
        <v>9</v>
      </c>
      <c r="AM83" s="326">
        <v>9</v>
      </c>
      <c r="AN83" s="356">
        <f>0.0071*706</f>
        <v>5.0125999999999999</v>
      </c>
      <c r="AO83" s="326"/>
      <c r="AP83" s="326">
        <v>5</v>
      </c>
      <c r="AQ83" s="356">
        <f>0.0005*7868</f>
        <v>3.9340000000000002</v>
      </c>
      <c r="AR83" s="326">
        <v>0</v>
      </c>
      <c r="AS83" s="326">
        <v>4</v>
      </c>
      <c r="AT83" s="4"/>
      <c r="AU83" s="327">
        <f t="shared" si="51"/>
        <v>0.10434569629111266</v>
      </c>
      <c r="AV83" s="327">
        <f t="shared" si="51"/>
        <v>0</v>
      </c>
      <c r="AW83" s="327">
        <f t="shared" si="51"/>
        <v>0.10485844110450893</v>
      </c>
      <c r="AX83" s="4"/>
      <c r="AY83" s="328" t="s">
        <v>324</v>
      </c>
      <c r="AZ83" s="4"/>
      <c r="BA83" s="4"/>
      <c r="BB83" s="4"/>
      <c r="BC83" s="4"/>
      <c r="BD83" s="4"/>
      <c r="BE83" s="4"/>
      <c r="BF83" s="4"/>
      <c r="BG83" s="4"/>
      <c r="BH83" s="4"/>
      <c r="BI83" s="4"/>
      <c r="BJ83" s="4"/>
      <c r="BK83" s="4"/>
      <c r="BL83" s="4"/>
      <c r="BM83" s="4"/>
      <c r="BN83" s="4"/>
      <c r="BO83" s="4"/>
      <c r="BP83" s="4"/>
      <c r="BQ83" s="4"/>
      <c r="BR83" s="4"/>
      <c r="BS83" s="4"/>
      <c r="BT83" s="4"/>
      <c r="BU83" s="4"/>
      <c r="BV83" s="4"/>
      <c r="BW83" s="4"/>
      <c r="BX83" s="4"/>
      <c r="BY83" s="4"/>
      <c r="BZ83" s="4"/>
      <c r="CA83" s="4"/>
      <c r="CB83" s="4"/>
      <c r="CC83" s="4"/>
      <c r="CD83" s="4"/>
      <c r="CE83" s="4"/>
      <c r="CF83" s="4"/>
      <c r="CG83" s="4"/>
      <c r="CH83" s="4"/>
      <c r="CI83" s="4"/>
      <c r="CJ83" s="4"/>
      <c r="CK83" s="4"/>
      <c r="CL83" s="4"/>
      <c r="CM83" s="4"/>
      <c r="CN83" s="4"/>
      <c r="CO83" s="4"/>
      <c r="CP83" s="4"/>
      <c r="CQ83" s="4"/>
      <c r="CR83" s="4"/>
      <c r="CS83" s="4"/>
      <c r="CT83" s="4"/>
      <c r="CU83" s="4"/>
      <c r="CV83" s="4"/>
      <c r="CW83" s="4"/>
      <c r="CX83" s="4"/>
      <c r="CY83" s="4"/>
      <c r="CZ83" s="4"/>
      <c r="DA83" s="4"/>
      <c r="DB83" s="4"/>
      <c r="DC83" s="4"/>
      <c r="DD83" s="4"/>
      <c r="DE83" s="4"/>
      <c r="DF83" s="4"/>
      <c r="DG83" s="4"/>
      <c r="DH83" s="4"/>
      <c r="DI83" s="4"/>
      <c r="DJ83" s="4"/>
      <c r="DK83" s="4"/>
      <c r="DL83" s="4"/>
      <c r="DM83" s="4"/>
      <c r="DN83" s="4"/>
      <c r="DO83" s="4"/>
      <c r="DP83" s="4"/>
      <c r="DQ83" s="4"/>
      <c r="DR83" s="4"/>
      <c r="DS83" s="4"/>
      <c r="DT83" s="4"/>
      <c r="DU83" s="4"/>
      <c r="DV83" s="4"/>
      <c r="DW83" s="4"/>
      <c r="DX83" s="4"/>
      <c r="DY83" s="4"/>
    </row>
    <row r="84" spans="1:131" s="143" customFormat="1" ht="15.75" customHeight="1">
      <c r="A84" s="316">
        <v>80</v>
      </c>
      <c r="B84" s="355" t="s">
        <v>48</v>
      </c>
      <c r="C84" s="323" t="s">
        <v>219</v>
      </c>
      <c r="D84" s="324"/>
      <c r="E84" s="38"/>
      <c r="F84" s="38"/>
      <c r="G84" s="48">
        <f t="shared" si="55"/>
        <v>0</v>
      </c>
      <c r="H84" s="48">
        <f t="shared" si="55"/>
        <v>0</v>
      </c>
      <c r="I84" s="48">
        <f t="shared" si="55"/>
        <v>0</v>
      </c>
      <c r="J84" s="48">
        <f t="shared" si="43"/>
        <v>0</v>
      </c>
      <c r="K84" s="48">
        <f t="shared" si="42"/>
        <v>0</v>
      </c>
      <c r="L84" s="48">
        <f t="shared" si="54"/>
        <v>0</v>
      </c>
      <c r="M84" s="48">
        <f t="shared" si="52"/>
        <v>0</v>
      </c>
      <c r="N84" s="48">
        <f>IF(ISNUMBER(AR84/AH84*100),ROUND(AR84/AH84*100,0),"")</f>
        <v>0</v>
      </c>
      <c r="O84" s="48">
        <f t="shared" si="36"/>
        <v>0</v>
      </c>
      <c r="P84" s="48">
        <f t="shared" si="37"/>
        <v>0</v>
      </c>
      <c r="Q84" s="48">
        <f t="shared" si="49"/>
        <v>0</v>
      </c>
      <c r="R84" s="321">
        <f>IF(ISNUMBER(AW84),ROUND(AW84,0),"")</f>
        <v>0</v>
      </c>
      <c r="S84" s="48"/>
      <c r="T84" s="48"/>
      <c r="U84" s="48"/>
      <c r="V84" s="48"/>
      <c r="W84" s="48"/>
      <c r="X84" s="4"/>
      <c r="Y84" s="323" t="s">
        <v>206</v>
      </c>
      <c r="Z84" s="4"/>
      <c r="AA84" s="326">
        <v>3</v>
      </c>
      <c r="AB84" s="326">
        <f t="shared" si="53"/>
        <v>27045</v>
      </c>
      <c r="AC84" s="326">
        <v>27048</v>
      </c>
      <c r="AD84" s="326">
        <v>24214</v>
      </c>
      <c r="AE84" s="326">
        <v>20</v>
      </c>
      <c r="AF84" s="326">
        <v>24234</v>
      </c>
      <c r="AG84" s="326">
        <v>2728</v>
      </c>
      <c r="AH84" s="326">
        <v>83</v>
      </c>
      <c r="AI84" s="326">
        <v>2811</v>
      </c>
      <c r="AJ84" s="4"/>
      <c r="AK84" s="326">
        <v>0</v>
      </c>
      <c r="AL84" s="326">
        <f t="shared" si="50"/>
        <v>15</v>
      </c>
      <c r="AM84" s="326">
        <v>15</v>
      </c>
      <c r="AN84" s="356">
        <f>0.0004*24214</f>
        <v>9.6856000000000009</v>
      </c>
      <c r="AO84" s="326">
        <v>0</v>
      </c>
      <c r="AP84" s="356">
        <f>AN84+AO84</f>
        <v>9.6856000000000009</v>
      </c>
      <c r="AQ84" s="356">
        <f>0.0018*2728</f>
        <v>4.9104000000000001</v>
      </c>
      <c r="AR84" s="326">
        <v>0</v>
      </c>
      <c r="AS84" s="356">
        <f>AQ84+AR84</f>
        <v>4.9104000000000001</v>
      </c>
      <c r="AT84" s="4"/>
      <c r="AU84" s="327">
        <f t="shared" si="51"/>
        <v>5.4175636552594456E-2</v>
      </c>
      <c r="AV84" s="327">
        <f t="shared" si="51"/>
        <v>0</v>
      </c>
      <c r="AW84" s="327">
        <f t="shared" si="51"/>
        <v>5.3969310408578289E-2</v>
      </c>
      <c r="AX84" s="4"/>
      <c r="AY84" s="328" t="s">
        <v>324</v>
      </c>
      <c r="AZ84" s="4"/>
      <c r="BA84" s="4"/>
      <c r="BB84" s="4"/>
      <c r="BC84" s="4"/>
      <c r="BD84" s="4"/>
      <c r="BE84" s="4"/>
      <c r="BF84" s="4"/>
      <c r="BG84" s="4"/>
      <c r="BH84" s="4"/>
      <c r="BI84" s="4"/>
      <c r="BJ84" s="4"/>
      <c r="BK84" s="4"/>
      <c r="BL84" s="4"/>
      <c r="BM84" s="4"/>
      <c r="BN84" s="4"/>
      <c r="BO84" s="4"/>
      <c r="BP84" s="4"/>
      <c r="BQ84" s="4"/>
      <c r="BR84" s="4"/>
      <c r="BS84" s="4"/>
      <c r="BT84" s="4"/>
      <c r="BU84" s="4"/>
      <c r="BV84" s="4"/>
      <c r="BW84" s="4"/>
      <c r="BX84" s="4"/>
      <c r="BY84" s="4"/>
      <c r="BZ84" s="4"/>
      <c r="CA84" s="4"/>
      <c r="CB84" s="4"/>
      <c r="CC84" s="4"/>
      <c r="CD84" s="4"/>
      <c r="CE84" s="4"/>
      <c r="CF84" s="4"/>
      <c r="CG84" s="4"/>
      <c r="CH84" s="4"/>
      <c r="CI84" s="4"/>
      <c r="CJ84" s="4"/>
      <c r="CK84" s="4"/>
      <c r="CL84" s="4"/>
      <c r="CM84" s="4"/>
      <c r="CN84" s="4"/>
      <c r="CO84" s="4"/>
      <c r="CP84" s="4"/>
      <c r="CQ84" s="4"/>
      <c r="CR84" s="4"/>
      <c r="CS84" s="4"/>
      <c r="CT84" s="4"/>
      <c r="CU84" s="4"/>
      <c r="CV84" s="4"/>
      <c r="CW84" s="4"/>
      <c r="CX84" s="4"/>
      <c r="CY84" s="4"/>
      <c r="CZ84" s="4"/>
      <c r="DA84" s="4"/>
      <c r="DB84" s="4"/>
      <c r="DC84" s="4"/>
      <c r="DD84" s="4"/>
      <c r="DE84" s="4"/>
      <c r="DF84" s="4"/>
      <c r="DG84" s="4"/>
      <c r="DH84" s="4"/>
      <c r="DI84" s="4"/>
      <c r="DJ84" s="4"/>
      <c r="DK84" s="4"/>
      <c r="DL84" s="4"/>
      <c r="DM84" s="4"/>
      <c r="DN84" s="4"/>
      <c r="DO84" s="4"/>
      <c r="DP84" s="4"/>
      <c r="DQ84" s="4"/>
      <c r="DR84" s="4"/>
      <c r="DS84" s="4"/>
      <c r="DT84" s="4"/>
      <c r="DU84" s="4"/>
      <c r="DV84" s="4"/>
      <c r="DW84" s="4"/>
      <c r="DX84" s="4"/>
      <c r="DY84" s="4"/>
    </row>
    <row r="85" spans="1:131" s="143" customFormat="1" ht="15.75" customHeight="1">
      <c r="A85" s="316">
        <v>81</v>
      </c>
      <c r="B85" s="165" t="s">
        <v>48</v>
      </c>
      <c r="C85" s="448" t="s">
        <v>182</v>
      </c>
      <c r="D85" s="324"/>
      <c r="E85" s="38"/>
      <c r="F85" s="38"/>
      <c r="G85" s="48" t="str">
        <f t="shared" si="55"/>
        <v/>
      </c>
      <c r="H85" s="48">
        <f t="shared" si="55"/>
        <v>5</v>
      </c>
      <c r="I85" s="48">
        <f t="shared" si="55"/>
        <v>5</v>
      </c>
      <c r="J85" s="48">
        <f t="shared" si="43"/>
        <v>1</v>
      </c>
      <c r="K85" s="48" t="str">
        <f t="shared" si="42"/>
        <v/>
      </c>
      <c r="L85" s="48">
        <f t="shared" si="54"/>
        <v>1</v>
      </c>
      <c r="M85" s="48">
        <f t="shared" si="52"/>
        <v>37</v>
      </c>
      <c r="N85" s="48">
        <f>IF(ISNUMBER(AR85/AH85*100),ROUND(AR85/AH85*100,0),"")</f>
        <v>83</v>
      </c>
      <c r="O85" s="48">
        <f t="shared" si="36"/>
        <v>44</v>
      </c>
      <c r="P85" s="48">
        <f t="shared" si="37"/>
        <v>3</v>
      </c>
      <c r="Q85" s="48">
        <f t="shared" si="49"/>
        <v>83</v>
      </c>
      <c r="R85" s="321">
        <f t="shared" si="47"/>
        <v>4</v>
      </c>
      <c r="S85" s="48"/>
      <c r="T85" s="48"/>
      <c r="U85" s="48"/>
      <c r="V85" s="48"/>
      <c r="W85" s="48"/>
      <c r="X85" s="4"/>
      <c r="Y85" s="323" t="s">
        <v>186</v>
      </c>
      <c r="Z85" s="4"/>
      <c r="AA85" s="326">
        <v>0</v>
      </c>
      <c r="AB85" s="326">
        <f t="shared" si="53"/>
        <v>481</v>
      </c>
      <c r="AC85" s="326">
        <v>481</v>
      </c>
      <c r="AD85" s="326">
        <v>443</v>
      </c>
      <c r="AE85" s="326">
        <v>0</v>
      </c>
      <c r="AF85" s="326">
        <v>443</v>
      </c>
      <c r="AG85" s="326">
        <v>30</v>
      </c>
      <c r="AH85" s="326">
        <v>6</v>
      </c>
      <c r="AI85" s="326">
        <v>36</v>
      </c>
      <c r="AJ85" s="4"/>
      <c r="AK85" s="326">
        <v>0</v>
      </c>
      <c r="AL85" s="326">
        <f t="shared" si="50"/>
        <v>23</v>
      </c>
      <c r="AM85" s="326">
        <v>23</v>
      </c>
      <c r="AN85" s="356">
        <f>0.0113*443</f>
        <v>5.0058999999999996</v>
      </c>
      <c r="AO85" s="356"/>
      <c r="AP85" s="356">
        <v>5</v>
      </c>
      <c r="AQ85" s="356">
        <f>30*0.3667</f>
        <v>11.001000000000001</v>
      </c>
      <c r="AR85" s="356">
        <f>6*0.8333</f>
        <v>4.9998000000000005</v>
      </c>
      <c r="AS85" s="326">
        <v>16</v>
      </c>
      <c r="AT85" s="4"/>
      <c r="AU85" s="327">
        <f t="shared" si="51"/>
        <v>3.3841226215644822</v>
      </c>
      <c r="AV85" s="327">
        <f t="shared" si="51"/>
        <v>83.33</v>
      </c>
      <c r="AW85" s="327">
        <f t="shared" si="51"/>
        <v>4.3841336116910234</v>
      </c>
      <c r="AX85" s="4"/>
      <c r="AY85" s="328" t="s">
        <v>324</v>
      </c>
      <c r="AZ85" s="4"/>
      <c r="BA85" s="4"/>
      <c r="BB85" s="4"/>
      <c r="BC85" s="4"/>
      <c r="BD85" s="4"/>
      <c r="BE85" s="4"/>
      <c r="BF85" s="4"/>
      <c r="BG85" s="4"/>
      <c r="BH85" s="4"/>
      <c r="BI85" s="4"/>
      <c r="BJ85" s="4"/>
      <c r="BK85" s="4"/>
      <c r="BL85" s="4"/>
      <c r="BM85" s="4"/>
      <c r="BN85" s="4"/>
      <c r="BO85" s="4"/>
      <c r="BP85" s="4"/>
      <c r="BQ85" s="4"/>
      <c r="BR85" s="4"/>
      <c r="BS85" s="4"/>
      <c r="BT85" s="4"/>
      <c r="BU85" s="4"/>
      <c r="BV85" s="4"/>
      <c r="BW85" s="4"/>
      <c r="BX85" s="4"/>
      <c r="BY85" s="4"/>
      <c r="BZ85" s="4"/>
      <c r="CA85" s="4"/>
      <c r="CB85" s="4"/>
      <c r="CC85" s="4"/>
      <c r="CD85" s="4"/>
      <c r="CE85" s="4"/>
      <c r="CF85" s="4"/>
      <c r="CG85" s="4"/>
      <c r="CH85" s="4"/>
      <c r="CI85" s="4"/>
      <c r="CJ85" s="4"/>
      <c r="CK85" s="4"/>
      <c r="CL85" s="4"/>
      <c r="CM85" s="4"/>
      <c r="CN85" s="4"/>
      <c r="CO85" s="4"/>
      <c r="CP85" s="4"/>
      <c r="CQ85" s="4"/>
      <c r="CR85" s="4"/>
      <c r="CS85" s="4"/>
      <c r="CT85" s="4"/>
      <c r="CU85" s="4"/>
      <c r="CV85" s="4"/>
      <c r="CW85" s="4"/>
      <c r="CX85" s="4"/>
      <c r="CY85" s="4"/>
      <c r="CZ85" s="4"/>
      <c r="DA85" s="4"/>
      <c r="DB85" s="4"/>
      <c r="DC85" s="4"/>
      <c r="DD85" s="4"/>
      <c r="DE85" s="4"/>
      <c r="DF85" s="4"/>
      <c r="DG85" s="4"/>
      <c r="DH85" s="4"/>
      <c r="DI85" s="4"/>
      <c r="DJ85" s="4"/>
      <c r="DK85" s="4"/>
      <c r="DL85" s="4"/>
      <c r="DM85" s="4"/>
      <c r="DN85" s="4"/>
      <c r="DO85" s="4"/>
      <c r="DP85" s="4"/>
      <c r="DQ85" s="4"/>
      <c r="DR85" s="4"/>
      <c r="DS85" s="4"/>
      <c r="DT85" s="4"/>
      <c r="DU85" s="4"/>
      <c r="DV85" s="4"/>
      <c r="DW85" s="4"/>
      <c r="DX85" s="4"/>
      <c r="DY85" s="4"/>
    </row>
    <row r="86" spans="1:131" s="143" customFormat="1" ht="15.75" customHeight="1">
      <c r="A86" s="379">
        <v>82</v>
      </c>
      <c r="B86" s="398" t="s">
        <v>20</v>
      </c>
      <c r="C86" s="399" t="s">
        <v>45</v>
      </c>
      <c r="D86" s="400">
        <v>32</v>
      </c>
      <c r="E86" s="128"/>
      <c r="F86" s="128"/>
      <c r="G86" s="80">
        <f t="shared" si="55"/>
        <v>0</v>
      </c>
      <c r="H86" s="80">
        <f t="shared" si="55"/>
        <v>1</v>
      </c>
      <c r="I86" s="80">
        <f t="shared" si="55"/>
        <v>1</v>
      </c>
      <c r="J86" s="80">
        <f>IF(ISNUMBER(AN86/AD86*100),ROUND(AN86/AD86*100,0),"")</f>
        <v>1</v>
      </c>
      <c r="K86" s="80">
        <f>IF(ISNUMBER(AO86/AE86*100),ROUND(AO86/AE86*100,0),"")</f>
        <v>0</v>
      </c>
      <c r="L86" s="80">
        <f t="shared" si="54"/>
        <v>0</v>
      </c>
      <c r="M86" s="80">
        <f t="shared" si="52"/>
        <v>1</v>
      </c>
      <c r="N86" s="80">
        <f>IF(ISNUMBER(AR86/AH86*100),ROUND(AR86/AH86*100,0),"")</f>
        <v>5</v>
      </c>
      <c r="O86" s="80">
        <f>IF(ISNUMBER(AS86/AI86*100),ROUND(AS86/AI86*100,0),"")</f>
        <v>2</v>
      </c>
      <c r="P86" s="80">
        <f>IF(ISNUMBER(AU86),ROUND(AU86,0),"")</f>
        <v>1</v>
      </c>
      <c r="Q86" s="80">
        <f>IF(ISNUMBER(AV86),ROUND(AV86,0),"")</f>
        <v>4</v>
      </c>
      <c r="R86" s="350">
        <f>IF(ISNUMBER(AW86),ROUND(AW86,0),"")</f>
        <v>1</v>
      </c>
      <c r="S86" s="80"/>
      <c r="T86" s="80"/>
      <c r="U86" s="80"/>
      <c r="V86" s="80"/>
      <c r="W86" s="80"/>
      <c r="X86" s="4"/>
      <c r="Y86" s="323" t="s">
        <v>110</v>
      </c>
      <c r="Z86" s="4"/>
      <c r="AA86" s="326">
        <v>2</v>
      </c>
      <c r="AB86" s="326">
        <f t="shared" si="53"/>
        <v>1026</v>
      </c>
      <c r="AC86" s="326">
        <v>1028</v>
      </c>
      <c r="AD86" s="326">
        <v>316</v>
      </c>
      <c r="AE86" s="326">
        <v>13</v>
      </c>
      <c r="AF86" s="326">
        <v>329</v>
      </c>
      <c r="AG86" s="326">
        <v>657</v>
      </c>
      <c r="AH86" s="326">
        <v>37</v>
      </c>
      <c r="AI86" s="326">
        <v>694</v>
      </c>
      <c r="AJ86" s="4"/>
      <c r="AK86" s="326">
        <v>0</v>
      </c>
      <c r="AL86" s="326">
        <f t="shared" si="50"/>
        <v>13</v>
      </c>
      <c r="AM86" s="326">
        <v>13</v>
      </c>
      <c r="AN86" s="356">
        <f>316*0.0063</f>
        <v>1.9908000000000001</v>
      </c>
      <c r="AO86" s="326">
        <v>0</v>
      </c>
      <c r="AP86" s="326">
        <v>1</v>
      </c>
      <c r="AQ86" s="356">
        <f>657*0.0137</f>
        <v>9.0008999999999997</v>
      </c>
      <c r="AR86" s="356">
        <f>37*0.0541</f>
        <v>2.0017</v>
      </c>
      <c r="AS86" s="326">
        <v>12</v>
      </c>
      <c r="AT86" s="4"/>
      <c r="AU86" s="327">
        <f t="shared" si="51"/>
        <v>1.1296711202466598</v>
      </c>
      <c r="AV86" s="327">
        <f t="shared" si="51"/>
        <v>4.0034000000000001</v>
      </c>
      <c r="AW86" s="327">
        <f t="shared" si="51"/>
        <v>1.270772238514174</v>
      </c>
      <c r="AX86" s="4"/>
      <c r="AY86" s="328" t="s">
        <v>324</v>
      </c>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row>
    <row r="87" spans="1:131" s="143" customFormat="1">
      <c r="A87" s="379">
        <v>83</v>
      </c>
      <c r="B87" s="379" t="s">
        <v>48</v>
      </c>
      <c r="C87" s="323" t="s">
        <v>192</v>
      </c>
      <c r="D87" s="63">
        <v>90</v>
      </c>
      <c r="E87" s="390"/>
      <c r="F87" s="390"/>
      <c r="G87" s="80" t="str">
        <f>IF(ISNUMBER(#REF!/#REF!*100),ROUND(#REF!/#REF!*100,0),"")</f>
        <v/>
      </c>
      <c r="H87" s="80" t="str">
        <f>IF(ISNUMBER(#REF!/#REF!*100),ROUND(#REF!/#REF!*100,0),"")</f>
        <v/>
      </c>
      <c r="I87" s="80" t="str">
        <f>IF(ISNUMBER(#REF!/#REF!*100),ROUND(#REF!/#REF!*100,0),"")</f>
        <v/>
      </c>
      <c r="J87" s="80" t="str">
        <f>IF(ISNUMBER(#REF!/#REF!*100),ROUND(#REF!/#REF!*100,0),"")</f>
        <v/>
      </c>
      <c r="K87" s="80" t="str">
        <f>IF(ISNUMBER(#REF!/#REF!*100),ROUND(#REF!/#REF!*100,0),"")</f>
        <v/>
      </c>
      <c r="L87" s="80" t="str">
        <f t="shared" si="54"/>
        <v/>
      </c>
      <c r="M87" s="80" t="str">
        <f>IF(ISNUMBER(#REF!/#REF!*100),ROUND(#REF!/#REF!*100,0),"")</f>
        <v/>
      </c>
      <c r="N87" s="80" t="str">
        <f>IF(ISNUMBER(#REF!/#REF!*100),ROUND(#REF!/#REF!*100,0),"")</f>
        <v/>
      </c>
      <c r="O87" s="80" t="str">
        <f>IF(ISNUMBER(#REF!/#REF!*100),ROUND(#REF!/#REF!*100,0),"")</f>
        <v/>
      </c>
      <c r="P87" s="80" t="str">
        <f>IF(ISNUMBER(AU87),ROUND(AU87,0),"")</f>
        <v/>
      </c>
      <c r="Q87" s="80" t="str">
        <f>IF(ISNUMBER(AV87),ROUND(AV87,0),"")</f>
        <v/>
      </c>
      <c r="R87" s="350"/>
      <c r="S87" s="48"/>
      <c r="T87" s="48"/>
      <c r="U87" s="48"/>
      <c r="V87" s="48"/>
      <c r="W87" s="48"/>
      <c r="X87" s="4"/>
      <c r="Y87" s="323" t="s">
        <v>198</v>
      </c>
      <c r="Z87" s="208"/>
      <c r="AA87" s="326">
        <v>2</v>
      </c>
      <c r="AB87" s="326">
        <f t="shared" si="53"/>
        <v>721</v>
      </c>
      <c r="AC87" s="326">
        <v>723</v>
      </c>
      <c r="AD87" s="326">
        <f>0.6*715</f>
        <v>429</v>
      </c>
      <c r="AE87" s="326">
        <f>0.6*8</f>
        <v>4.8</v>
      </c>
      <c r="AF87" s="326"/>
      <c r="AG87" s="326">
        <f>0.4*715</f>
        <v>286</v>
      </c>
      <c r="AH87" s="326">
        <f>0.4*8</f>
        <v>3.2</v>
      </c>
      <c r="AI87" s="326"/>
      <c r="AJ87" s="4"/>
      <c r="AK87" s="326"/>
      <c r="AL87" s="326"/>
      <c r="AM87" s="326">
        <v>19</v>
      </c>
      <c r="AN87" s="326">
        <v>16</v>
      </c>
      <c r="AO87" s="326">
        <v>3</v>
      </c>
      <c r="AP87" s="326"/>
      <c r="AQ87" s="326">
        <v>16</v>
      </c>
      <c r="AR87" s="326">
        <v>3</v>
      </c>
      <c r="AS87" s="326"/>
      <c r="AT87" s="4"/>
      <c r="AU87" s="327"/>
      <c r="AV87" s="327"/>
      <c r="AW87" s="327" t="str">
        <f t="shared" ref="AW87:AW94" si="56">IF(ISNUMBER((SUM(AP87,AS87)/SUM(AF87,AI87))*100),(SUM(AP87,AS87)/SUM(AF87,AI87))*100,"")</f>
        <v/>
      </c>
      <c r="AX87" s="4"/>
      <c r="AY87" s="359" t="s">
        <v>379</v>
      </c>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row>
    <row r="88" spans="1:131" s="169" customFormat="1">
      <c r="A88" s="379">
        <v>85</v>
      </c>
      <c r="B88" s="394" t="s">
        <v>48</v>
      </c>
      <c r="C88" s="373" t="s">
        <v>380</v>
      </c>
      <c r="D88" s="374">
        <v>90</v>
      </c>
      <c r="E88" s="326"/>
      <c r="F88" s="326"/>
      <c r="G88" s="80" t="str">
        <f>IF(ISNUMBER(#REF!/#REF!*100),ROUND(#REF!/#REF!*100,0),"")</f>
        <v/>
      </c>
      <c r="H88" s="80" t="str">
        <f>IF(ISNUMBER(#REF!/#REF!*100),ROUND(#REF!/#REF!*100,0),"")</f>
        <v/>
      </c>
      <c r="I88" s="80" t="str">
        <f>IF(ISNUMBER(#REF!/#REF!*100),ROUND(#REF!/#REF!*100,0),"")</f>
        <v/>
      </c>
      <c r="J88" s="80" t="str">
        <f>IF(ISNUMBER(#REF!/#REF!*100),ROUND(#REF!/#REF!*100,0),"")</f>
        <v/>
      </c>
      <c r="K88" s="80" t="str">
        <f>IF(ISNUMBER(#REF!/#REF!*100),ROUND(#REF!/#REF!*100,0),"")</f>
        <v/>
      </c>
      <c r="L88" s="80">
        <f t="shared" si="54"/>
        <v>10</v>
      </c>
      <c r="M88" s="80" t="str">
        <f>IF(ISNUMBER(#REF!/#REF!*100),ROUND(#REF!/#REF!*100,0),"")</f>
        <v/>
      </c>
      <c r="N88" s="80" t="str">
        <f>IF(ISNUMBER(#REF!/#REF!*100),ROUND(#REF!/#REF!*100,0),"")</f>
        <v/>
      </c>
      <c r="O88" s="80" t="str">
        <f>IF(ISNUMBER(#REF!/#REF!*100),ROUND(#REF!/#REF!*100,0),"")</f>
        <v/>
      </c>
      <c r="P88" s="80" t="str">
        <f>IF(ISNUMBER(AU88),ROUND(AU88,0),"")</f>
        <v/>
      </c>
      <c r="Q88" s="80" t="str">
        <f>IF(ISNUMBER(AV88),ROUND(AV88,0),"")</f>
        <v/>
      </c>
      <c r="R88" s="350"/>
      <c r="S88" s="326"/>
      <c r="T88" s="326"/>
      <c r="U88" s="326"/>
      <c r="V88" s="326"/>
      <c r="W88" s="326"/>
      <c r="X88" s="4"/>
      <c r="Y88" s="359" t="s">
        <v>384</v>
      </c>
      <c r="Z88" s="4"/>
      <c r="AA88" s="326"/>
      <c r="AB88" s="326"/>
      <c r="AC88" s="326"/>
      <c r="AD88" s="375">
        <v>949</v>
      </c>
      <c r="AE88" s="375">
        <v>13</v>
      </c>
      <c r="AF88" s="376">
        <f>SUM(AD88:AE88)</f>
        <v>962</v>
      </c>
      <c r="AG88" s="169">
        <v>16724</v>
      </c>
      <c r="AH88" s="326">
        <v>2856</v>
      </c>
      <c r="AI88" s="326">
        <f>SUM(AG88:AH88)</f>
        <v>19580</v>
      </c>
      <c r="AJ88" s="4"/>
      <c r="AK88" s="326"/>
      <c r="AL88" s="326"/>
      <c r="AM88" s="326"/>
      <c r="AN88" s="326">
        <v>90.649999999999991</v>
      </c>
      <c r="AO88" s="326">
        <v>4</v>
      </c>
      <c r="AP88" s="326">
        <f>SUM(AN88:AO88)</f>
        <v>94.649999999999991</v>
      </c>
      <c r="AQ88" s="326">
        <v>4093.25</v>
      </c>
      <c r="AR88" s="326">
        <v>1244.3499999999999</v>
      </c>
      <c r="AS88" s="326">
        <f>SUM(AQ88:AR88)</f>
        <v>5337.6</v>
      </c>
      <c r="AT88" s="4"/>
      <c r="AU88" s="327"/>
      <c r="AV88" s="327"/>
      <c r="AW88" s="327">
        <f t="shared" si="56"/>
        <v>26.444601304644145</v>
      </c>
      <c r="AX88" s="4"/>
      <c r="AY88" s="359" t="s">
        <v>387</v>
      </c>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row>
    <row r="89" spans="1:131">
      <c r="A89" s="379">
        <v>86</v>
      </c>
      <c r="B89" s="395" t="s">
        <v>48</v>
      </c>
      <c r="C89" s="359" t="s">
        <v>205</v>
      </c>
      <c r="D89" s="326"/>
      <c r="E89" s="326"/>
      <c r="F89" s="326"/>
      <c r="G89" s="80" t="str">
        <f>IF(ISNUMBER(AK89/AA89*100),ROUND(AK89/AA89*100,0),"")</f>
        <v/>
      </c>
      <c r="H89" s="80">
        <v>8</v>
      </c>
      <c r="I89" s="80">
        <v>8</v>
      </c>
      <c r="J89" s="80">
        <v>0</v>
      </c>
      <c r="K89" s="80">
        <v>0</v>
      </c>
      <c r="L89" s="80">
        <f t="shared" si="54"/>
        <v>0</v>
      </c>
      <c r="M89" s="80">
        <v>8</v>
      </c>
      <c r="N89" s="80" t="str">
        <f t="shared" ref="N89:N99" si="57">IF(ISNUMBER(AR89/AH89*100),ROUND(AR89/AH89*100,0),"")</f>
        <v/>
      </c>
      <c r="O89" s="80"/>
      <c r="P89" s="80">
        <v>8</v>
      </c>
      <c r="Q89" s="80" t="str">
        <f>IF(ISNUMBER(AV89),ROUND(AV89,0),"")</f>
        <v/>
      </c>
      <c r="R89" s="80">
        <v>8</v>
      </c>
      <c r="S89" s="110"/>
      <c r="T89" s="110"/>
      <c r="U89" s="110"/>
      <c r="V89" s="110"/>
      <c r="W89" s="110"/>
      <c r="X89" s="4"/>
      <c r="Y89" s="361" t="s">
        <v>381</v>
      </c>
      <c r="AA89" s="326">
        <v>0</v>
      </c>
      <c r="AB89" s="326">
        <f t="shared" ref="AB89:AB95" si="58">AC89-AA89</f>
        <v>2518</v>
      </c>
      <c r="AC89" s="326">
        <v>2518</v>
      </c>
      <c r="AD89" s="326"/>
      <c r="AE89" s="326"/>
      <c r="AF89" s="326">
        <v>1351</v>
      </c>
      <c r="AG89" s="326"/>
      <c r="AH89" s="326"/>
      <c r="AI89" s="326">
        <v>1167</v>
      </c>
      <c r="AK89" s="326"/>
      <c r="AL89" s="326"/>
      <c r="AM89" s="326"/>
      <c r="AN89" s="326"/>
      <c r="AO89" s="326"/>
      <c r="AP89" s="326"/>
      <c r="AQ89" s="326"/>
      <c r="AR89" s="326"/>
      <c r="AS89" s="326"/>
      <c r="AU89" s="327"/>
      <c r="AV89" s="327"/>
      <c r="AW89" s="327">
        <f t="shared" si="56"/>
        <v>0</v>
      </c>
      <c r="AY89" s="359" t="s">
        <v>383</v>
      </c>
    </row>
    <row r="90" spans="1:131">
      <c r="A90" s="379">
        <v>87</v>
      </c>
      <c r="B90" s="395" t="s">
        <v>48</v>
      </c>
      <c r="C90" s="396" t="s">
        <v>192</v>
      </c>
      <c r="D90" s="401">
        <v>276</v>
      </c>
      <c r="E90" s="326"/>
      <c r="F90" s="326"/>
      <c r="G90" s="80" t="str">
        <f>IF(ISNUMBER(AK90/AA90*100),ROUND(AK90/AA90*100,0),"")</f>
        <v/>
      </c>
      <c r="H90" s="80">
        <f>IF(ISNUMBER(AL90/AB90*100),ROUND(AL90/AB90*100,0),"")</f>
        <v>15</v>
      </c>
      <c r="I90" s="80">
        <f>IF(ISNUMBER(AM90/AC90*100),ROUND(AM90/AC90*100,0),"")</f>
        <v>15</v>
      </c>
      <c r="J90" s="80"/>
      <c r="K90" s="80"/>
      <c r="L90" s="80">
        <f t="shared" si="54"/>
        <v>12</v>
      </c>
      <c r="M90" s="80"/>
      <c r="N90" s="80" t="str">
        <f t="shared" si="57"/>
        <v/>
      </c>
      <c r="O90" s="80">
        <f>IF(ISNUMBER(AS90/AI90*100),ROUND(AS90/AI90*100,0),"")</f>
        <v>40</v>
      </c>
      <c r="P90" s="80" t="str">
        <f>IF(ISNUMBER(#REF!),ROUND(#REF!,0),"")</f>
        <v/>
      </c>
      <c r="Q90" s="80" t="str">
        <f>IF(ISNUMBER(#REF!),ROUND(#REF!,0),"")</f>
        <v/>
      </c>
      <c r="R90" s="350" t="str">
        <f>IF(ISNUMBER(#REF!),ROUND(#REF!,0),"")</f>
        <v/>
      </c>
      <c r="S90" s="80"/>
      <c r="T90" s="80"/>
      <c r="U90" s="80"/>
      <c r="V90" s="80"/>
      <c r="W90" s="80"/>
      <c r="X90" s="4"/>
      <c r="Y90" s="361" t="s">
        <v>382</v>
      </c>
      <c r="AA90" s="362"/>
      <c r="AB90" s="326">
        <f t="shared" si="58"/>
        <v>39</v>
      </c>
      <c r="AC90" s="326">
        <v>39</v>
      </c>
      <c r="AD90" s="326">
        <v>34</v>
      </c>
      <c r="AE90" s="326"/>
      <c r="AF90" s="326">
        <v>34</v>
      </c>
      <c r="AG90" s="326">
        <v>5</v>
      </c>
      <c r="AH90" s="326"/>
      <c r="AI90" s="326">
        <v>5</v>
      </c>
      <c r="AK90" s="326"/>
      <c r="AL90" s="326">
        <v>6</v>
      </c>
      <c r="AM90" s="326">
        <v>6</v>
      </c>
      <c r="AN90" s="326"/>
      <c r="AO90" s="326"/>
      <c r="AP90" s="326">
        <v>4</v>
      </c>
      <c r="AQ90" s="326"/>
      <c r="AR90" s="326"/>
      <c r="AS90" s="326">
        <v>2</v>
      </c>
      <c r="AU90" s="327"/>
      <c r="AV90" s="327"/>
      <c r="AW90" s="327">
        <f t="shared" si="56"/>
        <v>15.384615384615385</v>
      </c>
      <c r="AY90" s="359" t="s">
        <v>383</v>
      </c>
    </row>
    <row r="91" spans="1:131" s="372" customFormat="1" ht="14.25" customHeight="1">
      <c r="A91" s="379">
        <v>88</v>
      </c>
      <c r="B91" s="395" t="s">
        <v>20</v>
      </c>
      <c r="C91" s="402" t="s">
        <v>44</v>
      </c>
      <c r="D91" s="401"/>
      <c r="E91" s="374"/>
      <c r="F91" s="374"/>
      <c r="G91" s="353"/>
      <c r="H91" s="360"/>
      <c r="I91" s="80">
        <f t="shared" ref="I91:I100" si="59">IF(ISNUMBER(AM91/AC91*100),ROUND(AM91/AC91*100,0),"")</f>
        <v>25</v>
      </c>
      <c r="J91" s="80">
        <f t="shared" ref="J91:J101" si="60">IF(ISNUMBER(AN91/AD91*100),ROUND(AN91/AD91*100,0),"")</f>
        <v>25</v>
      </c>
      <c r="K91" s="80"/>
      <c r="L91" s="80">
        <f t="shared" si="54"/>
        <v>25</v>
      </c>
      <c r="M91" s="80">
        <f t="shared" ref="M91:M99" si="61">IF(ISNUMBER(AQ91/AG91*100),ROUND(AQ91/AG91*100,0),"")</f>
        <v>25</v>
      </c>
      <c r="N91" s="80" t="str">
        <f t="shared" si="57"/>
        <v/>
      </c>
      <c r="O91" s="80">
        <f>IF(ISNUMBER(AS91/AI91*100),ROUND(AS91/AI91*100,0),"")</f>
        <v>25</v>
      </c>
      <c r="P91" s="80" t="str">
        <f>IF(ISNUMBER(#REF!),ROUND(#REF!,0),"")</f>
        <v/>
      </c>
      <c r="Q91" s="80" t="str">
        <f>IF(ISNUMBER(#REF!),ROUND(#REF!,0),"")</f>
        <v/>
      </c>
      <c r="R91" s="80" t="str">
        <f>IF(ISNUMBER(#REF!),ROUND(#REF!,0),"")</f>
        <v/>
      </c>
      <c r="S91" s="368"/>
      <c r="T91" s="368"/>
      <c r="U91" s="368"/>
      <c r="V91" s="368"/>
      <c r="W91" s="352"/>
      <c r="X91" s="369"/>
      <c r="Y91" s="397" t="s">
        <v>385</v>
      </c>
      <c r="Z91" s="369"/>
      <c r="AA91" s="362"/>
      <c r="AB91" s="370">
        <f t="shared" si="58"/>
        <v>12</v>
      </c>
      <c r="AC91" s="370">
        <v>12</v>
      </c>
      <c r="AD91" s="370">
        <v>8</v>
      </c>
      <c r="AE91" s="370"/>
      <c r="AF91" s="370">
        <v>8</v>
      </c>
      <c r="AG91" s="370">
        <v>4</v>
      </c>
      <c r="AH91" s="370"/>
      <c r="AI91" s="370">
        <v>4</v>
      </c>
      <c r="AJ91" s="369"/>
      <c r="AK91" s="370"/>
      <c r="AL91" s="370">
        <v>3</v>
      </c>
      <c r="AM91" s="370">
        <v>3</v>
      </c>
      <c r="AN91" s="370">
        <v>2</v>
      </c>
      <c r="AO91" s="370"/>
      <c r="AP91" s="370">
        <v>2</v>
      </c>
      <c r="AQ91" s="370">
        <v>1</v>
      </c>
      <c r="AR91" s="370"/>
      <c r="AS91" s="370">
        <v>1</v>
      </c>
      <c r="AT91" s="369"/>
      <c r="AU91" s="371"/>
      <c r="AV91" s="371"/>
      <c r="AW91" s="327">
        <f t="shared" si="56"/>
        <v>25</v>
      </c>
      <c r="AX91" s="369"/>
      <c r="AY91" s="359" t="s">
        <v>383</v>
      </c>
      <c r="AZ91" s="369"/>
      <c r="BA91" s="369"/>
      <c r="BB91" s="369"/>
      <c r="BC91" s="369"/>
      <c r="BD91" s="369"/>
      <c r="BE91" s="369"/>
      <c r="BF91" s="369"/>
      <c r="BG91" s="369"/>
      <c r="BH91" s="369"/>
      <c r="BI91" s="369"/>
      <c r="BJ91" s="369"/>
      <c r="BK91" s="369"/>
      <c r="BL91" s="369"/>
      <c r="BM91" s="369"/>
      <c r="BN91" s="369"/>
      <c r="BO91" s="369"/>
      <c r="BP91" s="369"/>
      <c r="BQ91" s="369"/>
      <c r="BR91" s="369"/>
      <c r="BS91" s="369"/>
      <c r="BT91" s="369"/>
      <c r="BU91" s="369"/>
      <c r="BV91" s="369"/>
      <c r="BW91" s="369"/>
      <c r="BX91" s="369"/>
      <c r="BY91" s="369"/>
      <c r="BZ91" s="369"/>
      <c r="CA91" s="369"/>
      <c r="CB91" s="369"/>
      <c r="CC91" s="369"/>
      <c r="CD91" s="369"/>
      <c r="CE91" s="369"/>
      <c r="CF91" s="369"/>
      <c r="CG91" s="369"/>
      <c r="CH91" s="369"/>
      <c r="CI91" s="369"/>
      <c r="CJ91" s="369"/>
      <c r="CK91" s="369"/>
      <c r="CL91" s="369"/>
      <c r="CM91" s="369"/>
      <c r="CN91" s="369"/>
      <c r="CO91" s="369"/>
      <c r="CP91" s="369"/>
      <c r="CQ91" s="369"/>
      <c r="CR91" s="369"/>
      <c r="CS91" s="369"/>
      <c r="CT91" s="369"/>
      <c r="CU91" s="369"/>
      <c r="CV91" s="369"/>
      <c r="CW91" s="369"/>
      <c r="CX91" s="369"/>
      <c r="CY91" s="369"/>
      <c r="CZ91" s="369"/>
      <c r="DA91" s="369"/>
      <c r="DB91" s="369"/>
      <c r="DC91" s="369"/>
      <c r="DD91" s="369"/>
      <c r="DE91" s="369"/>
      <c r="DF91" s="369"/>
      <c r="DG91" s="369"/>
      <c r="DH91" s="369"/>
      <c r="DI91" s="369"/>
      <c r="DJ91" s="369"/>
      <c r="DK91" s="369"/>
      <c r="DL91" s="369"/>
      <c r="DM91" s="369"/>
      <c r="DN91" s="369"/>
      <c r="DO91" s="369"/>
      <c r="DP91" s="369"/>
      <c r="DQ91" s="369"/>
      <c r="DR91" s="369"/>
      <c r="DS91" s="369"/>
      <c r="DT91" s="369"/>
      <c r="DU91" s="369"/>
      <c r="DV91" s="369"/>
      <c r="DW91" s="369"/>
      <c r="DX91" s="369"/>
      <c r="DY91" s="369"/>
      <c r="DZ91" s="369"/>
      <c r="EA91" s="369"/>
    </row>
    <row r="92" spans="1:131">
      <c r="A92" s="379">
        <v>89</v>
      </c>
      <c r="B92" s="395" t="s">
        <v>20</v>
      </c>
      <c r="C92" s="402" t="s">
        <v>44</v>
      </c>
      <c r="D92" s="401"/>
      <c r="E92" s="326"/>
      <c r="F92" s="326"/>
      <c r="G92" s="48">
        <f t="shared" ref="G92:H100" si="62">IF(ISNUMBER(AK92/AA92*100),ROUND(AK92/AA92*100,0),"")</f>
        <v>0</v>
      </c>
      <c r="H92" s="48">
        <f t="shared" si="62"/>
        <v>32</v>
      </c>
      <c r="I92" s="48">
        <f t="shared" si="59"/>
        <v>31</v>
      </c>
      <c r="J92" s="48">
        <f t="shared" si="60"/>
        <v>36</v>
      </c>
      <c r="K92" s="48"/>
      <c r="L92" s="80">
        <f t="shared" si="54"/>
        <v>36</v>
      </c>
      <c r="M92" s="48">
        <f t="shared" si="61"/>
        <v>28</v>
      </c>
      <c r="N92" s="48" t="str">
        <f t="shared" si="57"/>
        <v/>
      </c>
      <c r="O92" s="48">
        <f>IF(ISNUMBER(AS92/AI92*100),ROUND(AS92/AI92*100,0),"")</f>
        <v>28</v>
      </c>
      <c r="P92" s="48" t="str">
        <f>IF(ISNUMBER(#REF!),ROUND(#REF!,0),"")</f>
        <v/>
      </c>
      <c r="Q92" s="48" t="str">
        <f>IF(ISNUMBER(#REF!),ROUND(#REF!,0),"")</f>
        <v/>
      </c>
      <c r="R92" s="80">
        <f t="shared" ref="R92:R101" si="63">IF(ISNUMBER(AW92),ROUND(AW92,0),"")</f>
        <v>32</v>
      </c>
      <c r="S92" s="110"/>
      <c r="T92" s="110"/>
      <c r="U92" s="110"/>
      <c r="V92" s="110"/>
      <c r="W92" s="110"/>
      <c r="X92" s="4"/>
      <c r="Y92" s="361" t="s">
        <v>386</v>
      </c>
      <c r="AA92" s="326">
        <v>2</v>
      </c>
      <c r="AB92" s="326">
        <f t="shared" si="58"/>
        <v>72</v>
      </c>
      <c r="AC92" s="326">
        <v>74</v>
      </c>
      <c r="AD92" s="326">
        <v>36</v>
      </c>
      <c r="AE92" s="326"/>
      <c r="AF92" s="326">
        <v>36</v>
      </c>
      <c r="AG92" s="326">
        <v>36</v>
      </c>
      <c r="AH92" s="326"/>
      <c r="AI92" s="326">
        <v>36</v>
      </c>
      <c r="AK92" s="326">
        <v>0</v>
      </c>
      <c r="AL92" s="326">
        <v>23</v>
      </c>
      <c r="AM92" s="326">
        <v>23</v>
      </c>
      <c r="AN92" s="326">
        <v>13</v>
      </c>
      <c r="AO92" s="326"/>
      <c r="AP92" s="326">
        <v>13</v>
      </c>
      <c r="AQ92" s="326">
        <v>10</v>
      </c>
      <c r="AR92" s="326"/>
      <c r="AS92" s="326">
        <v>10</v>
      </c>
      <c r="AU92" s="327"/>
      <c r="AV92" s="327"/>
      <c r="AW92" s="327">
        <f t="shared" si="56"/>
        <v>31.944444444444443</v>
      </c>
      <c r="AY92" s="359" t="s">
        <v>383</v>
      </c>
    </row>
    <row r="93" spans="1:131" s="169" customFormat="1" ht="15">
      <c r="A93" s="379">
        <v>90</v>
      </c>
      <c r="B93" s="395" t="s">
        <v>20</v>
      </c>
      <c r="C93" s="392" t="s">
        <v>388</v>
      </c>
      <c r="D93" s="354">
        <v>40</v>
      </c>
      <c r="E93" s="370">
        <v>2.7</v>
      </c>
      <c r="F93" s="326">
        <v>39.1</v>
      </c>
      <c r="G93" s="48">
        <f t="shared" si="62"/>
        <v>8</v>
      </c>
      <c r="H93" s="48">
        <f t="shared" si="62"/>
        <v>0</v>
      </c>
      <c r="I93" s="48">
        <f t="shared" si="59"/>
        <v>2</v>
      </c>
      <c r="J93" s="48">
        <f t="shared" si="60"/>
        <v>1</v>
      </c>
      <c r="K93" s="48"/>
      <c r="L93" s="80">
        <f t="shared" si="54"/>
        <v>1</v>
      </c>
      <c r="M93" s="48">
        <f t="shared" si="61"/>
        <v>0</v>
      </c>
      <c r="N93" s="48">
        <f t="shared" si="57"/>
        <v>0</v>
      </c>
      <c r="O93" s="48">
        <f>IF(ISNUMBER(AS93/AI93*100),ROUND(AS93/AI93*100,0),"")</f>
        <v>0</v>
      </c>
      <c r="P93" s="48" t="str">
        <f>IF(ISNUMBER(#REF!),ROUND(#REF!,0),"")</f>
        <v/>
      </c>
      <c r="Q93" s="48" t="str">
        <f>IF(ISNUMBER(#REF!),ROUND(#REF!,0),"")</f>
        <v/>
      </c>
      <c r="R93" s="80">
        <f t="shared" si="63"/>
        <v>0</v>
      </c>
      <c r="S93" s="326"/>
      <c r="T93" s="326"/>
      <c r="U93" s="326"/>
      <c r="V93" s="326"/>
      <c r="W93" s="326"/>
      <c r="X93" s="4"/>
      <c r="Y93" s="370" t="s">
        <v>83</v>
      </c>
      <c r="Z93" s="4"/>
      <c r="AA93" s="381">
        <v>101</v>
      </c>
      <c r="AB93" s="326">
        <f t="shared" si="58"/>
        <v>298</v>
      </c>
      <c r="AC93" s="326">
        <v>399</v>
      </c>
      <c r="AD93" s="326">
        <v>116</v>
      </c>
      <c r="AE93" s="326">
        <v>64</v>
      </c>
      <c r="AF93" s="326">
        <f>SUM(AD93:AE93)</f>
        <v>180</v>
      </c>
      <c r="AG93" s="326">
        <v>50</v>
      </c>
      <c r="AH93" s="326">
        <v>68</v>
      </c>
      <c r="AI93" s="326">
        <f>SUM(AG93:AH93)</f>
        <v>118</v>
      </c>
      <c r="AJ93" s="4"/>
      <c r="AK93" s="326">
        <v>8</v>
      </c>
      <c r="AL93" s="326">
        <f>AM93-AK93</f>
        <v>1</v>
      </c>
      <c r="AM93" s="326">
        <v>9</v>
      </c>
      <c r="AN93" s="326">
        <v>1</v>
      </c>
      <c r="AO93" s="326">
        <v>0</v>
      </c>
      <c r="AP93" s="326">
        <v>1</v>
      </c>
      <c r="AQ93" s="326">
        <v>0</v>
      </c>
      <c r="AR93" s="326">
        <v>0</v>
      </c>
      <c r="AS93" s="326">
        <v>0</v>
      </c>
      <c r="AT93" s="4"/>
      <c r="AU93" s="327">
        <f>IF(ISNUMBER((SUM(AN93,AQ93)/SUM(AD93,AG93))*100),(SUM(AN93,AQ93)/SUM(AD93,AG93))*100,"")</f>
        <v>0.60240963855421692</v>
      </c>
      <c r="AV93" s="327">
        <f>IF(ISNUMBER((SUM(AO93,AR93)/SUM(AE93,AH93))*100),(SUM(AO93,AR93)/SUM(AE93,AH93))*100,"")</f>
        <v>0</v>
      </c>
      <c r="AW93" s="327">
        <f t="shared" si="56"/>
        <v>0.33557046979865773</v>
      </c>
      <c r="AX93" s="4"/>
      <c r="AY93" s="359" t="s">
        <v>389</v>
      </c>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row>
    <row r="94" spans="1:131" s="169" customFormat="1" ht="15">
      <c r="A94" s="379">
        <v>91</v>
      </c>
      <c r="B94" s="48" t="s">
        <v>20</v>
      </c>
      <c r="C94" s="392" t="s">
        <v>388</v>
      </c>
      <c r="D94" s="380">
        <v>23</v>
      </c>
      <c r="E94" s="370">
        <v>2.7</v>
      </c>
      <c r="F94" s="326">
        <v>23.8</v>
      </c>
      <c r="G94" s="48">
        <f t="shared" si="62"/>
        <v>3</v>
      </c>
      <c r="H94" s="48">
        <f t="shared" si="62"/>
        <v>0</v>
      </c>
      <c r="I94" s="48">
        <f t="shared" si="59"/>
        <v>1</v>
      </c>
      <c r="J94" s="48">
        <f t="shared" si="60"/>
        <v>0</v>
      </c>
      <c r="K94" s="48"/>
      <c r="L94" s="80">
        <f t="shared" si="54"/>
        <v>0</v>
      </c>
      <c r="M94" s="48">
        <f t="shared" si="61"/>
        <v>0</v>
      </c>
      <c r="N94" s="48">
        <f t="shared" si="57"/>
        <v>0</v>
      </c>
      <c r="O94" s="48">
        <f>IF(ISNUMBER(AS94/AI94*100),ROUND(AS94/AI94*100,0),"")</f>
        <v>0</v>
      </c>
      <c r="P94" s="48" t="str">
        <f>IF(ISNUMBER(#REF!),ROUND(#REF!,0),"")</f>
        <v/>
      </c>
      <c r="Q94" s="48" t="str">
        <f>IF(ISNUMBER(#REF!),ROUND(#REF!,0),"")</f>
        <v/>
      </c>
      <c r="R94" s="80">
        <f t="shared" si="63"/>
        <v>0</v>
      </c>
      <c r="S94" s="326"/>
      <c r="T94" s="326"/>
      <c r="U94" s="326"/>
      <c r="V94" s="326"/>
      <c r="W94" s="326"/>
      <c r="X94" s="4"/>
      <c r="Y94" s="370" t="s">
        <v>83</v>
      </c>
      <c r="Z94" s="4"/>
      <c r="AA94" s="382">
        <v>112</v>
      </c>
      <c r="AB94" s="326">
        <f t="shared" si="58"/>
        <v>338</v>
      </c>
      <c r="AC94" s="326">
        <v>450</v>
      </c>
      <c r="AD94" s="326">
        <v>70</v>
      </c>
      <c r="AE94" s="326">
        <v>124</v>
      </c>
      <c r="AF94" s="326">
        <f>SUM(AD94:AE94)</f>
        <v>194</v>
      </c>
      <c r="AG94" s="326">
        <v>66</v>
      </c>
      <c r="AH94" s="326">
        <v>78</v>
      </c>
      <c r="AI94" s="326">
        <f>SUM(AG94:AH94)</f>
        <v>144</v>
      </c>
      <c r="AJ94" s="4"/>
      <c r="AK94" s="326">
        <v>3</v>
      </c>
      <c r="AL94" s="326">
        <f>AM94-AK94</f>
        <v>0</v>
      </c>
      <c r="AM94" s="326">
        <v>3</v>
      </c>
      <c r="AN94" s="326">
        <v>0</v>
      </c>
      <c r="AO94" s="326">
        <v>0</v>
      </c>
      <c r="AP94" s="326">
        <v>0</v>
      </c>
      <c r="AQ94" s="326">
        <v>0</v>
      </c>
      <c r="AR94" s="326">
        <v>0</v>
      </c>
      <c r="AS94" s="326">
        <v>0</v>
      </c>
      <c r="AT94" s="4"/>
      <c r="AU94" s="327">
        <f>IF(ISNUMBER((SUM(AN94,AQ94)/SUM(AD94,AG94))*100),(SUM(AN94,AQ94)/SUM(AD94,AG94))*100,"")</f>
        <v>0</v>
      </c>
      <c r="AV94" s="327">
        <f>IF(ISNUMBER((SUM(AO94,AR94)/SUM(AE94,AH94))*100),(SUM(AO94,AR94)/SUM(AE94,AH94))*100,"")</f>
        <v>0</v>
      </c>
      <c r="AW94" s="327">
        <f t="shared" si="56"/>
        <v>0</v>
      </c>
      <c r="AX94" s="4"/>
      <c r="AY94" s="359" t="s">
        <v>389</v>
      </c>
      <c r="AZ94" s="4"/>
      <c r="BA94" s="4"/>
      <c r="BB94" s="4"/>
      <c r="BC94" s="4"/>
      <c r="BD94" s="4"/>
      <c r="BE94" s="4"/>
      <c r="BF94" s="4"/>
      <c r="BG94" s="4"/>
      <c r="BH94" s="4"/>
      <c r="BI94" s="4"/>
      <c r="BJ94" s="4"/>
      <c r="BK94" s="4"/>
      <c r="BL94" s="4"/>
      <c r="BM94" s="4"/>
      <c r="BN94" s="4"/>
      <c r="BO94" s="4"/>
      <c r="BP94" s="4"/>
      <c r="BQ94" s="4"/>
      <c r="BR94" s="4"/>
      <c r="BS94" s="4"/>
      <c r="BT94" s="4"/>
      <c r="BU94" s="4"/>
      <c r="BV94" s="4"/>
      <c r="BW94" s="4"/>
      <c r="BX94" s="4"/>
      <c r="BY94" s="4"/>
      <c r="BZ94" s="4"/>
      <c r="CA94" s="4"/>
      <c r="CB94" s="4"/>
      <c r="CC94" s="4"/>
      <c r="CD94" s="4"/>
      <c r="CE94" s="4"/>
      <c r="CF94" s="4"/>
      <c r="CG94" s="4"/>
      <c r="CH94" s="4"/>
      <c r="CI94" s="4"/>
      <c r="CJ94" s="4"/>
      <c r="CK94" s="4"/>
      <c r="CL94" s="4"/>
      <c r="CM94" s="4"/>
      <c r="CN94" s="4"/>
      <c r="CO94" s="4"/>
      <c r="CP94" s="4"/>
      <c r="CQ94" s="4"/>
      <c r="CR94" s="4"/>
      <c r="CS94" s="4"/>
      <c r="CT94" s="4"/>
      <c r="CU94" s="4"/>
      <c r="CV94" s="4"/>
      <c r="CW94" s="4"/>
      <c r="CX94" s="4"/>
      <c r="CY94" s="4"/>
      <c r="CZ94" s="4"/>
      <c r="DA94" s="4"/>
      <c r="DB94" s="4"/>
      <c r="DC94" s="4"/>
      <c r="DD94" s="4"/>
      <c r="DE94" s="4"/>
      <c r="DF94" s="4"/>
      <c r="DG94" s="4"/>
      <c r="DH94" s="4"/>
      <c r="DI94" s="4"/>
      <c r="DJ94" s="4"/>
      <c r="DK94" s="4"/>
      <c r="DL94" s="4"/>
      <c r="DM94" s="4"/>
      <c r="DN94" s="4"/>
      <c r="DO94" s="4"/>
      <c r="DP94" s="4"/>
      <c r="DQ94" s="4"/>
      <c r="DR94" s="4"/>
      <c r="DS94" s="4"/>
      <c r="DT94" s="4"/>
      <c r="DU94" s="4"/>
      <c r="DV94" s="4"/>
      <c r="DW94" s="4"/>
      <c r="DX94" s="4"/>
      <c r="DY94" s="4"/>
      <c r="DZ94" s="4"/>
      <c r="EA94" s="4"/>
    </row>
    <row r="95" spans="1:131">
      <c r="A95" s="379">
        <v>92</v>
      </c>
      <c r="B95" s="48" t="s">
        <v>20</v>
      </c>
      <c r="C95" s="392" t="s">
        <v>44</v>
      </c>
      <c r="D95" s="370">
        <v>43</v>
      </c>
      <c r="E95" s="370">
        <v>1.25</v>
      </c>
      <c r="F95" s="110"/>
      <c r="G95" s="48"/>
      <c r="H95" s="48">
        <f t="shared" si="62"/>
        <v>3</v>
      </c>
      <c r="I95" s="48">
        <f t="shared" si="59"/>
        <v>4</v>
      </c>
      <c r="J95" s="48" t="str">
        <f t="shared" si="60"/>
        <v/>
      </c>
      <c r="K95" s="48"/>
      <c r="L95" s="80"/>
      <c r="M95" s="48" t="str">
        <f t="shared" si="61"/>
        <v/>
      </c>
      <c r="N95" s="48" t="str">
        <f t="shared" si="57"/>
        <v/>
      </c>
      <c r="O95" s="48"/>
      <c r="P95" s="48" t="str">
        <f>IF(ISNUMBER(#REF!),ROUND(#REF!,0),"")</f>
        <v/>
      </c>
      <c r="Q95" s="48" t="str">
        <f>IF(ISNUMBER(#REF!),ROUND(#REF!,0),"")</f>
        <v/>
      </c>
      <c r="R95" s="80" t="str">
        <f t="shared" si="63"/>
        <v/>
      </c>
      <c r="S95" s="351"/>
      <c r="T95" s="110"/>
      <c r="U95" s="110"/>
      <c r="V95" s="110"/>
      <c r="W95" s="110"/>
      <c r="Y95" s="368" t="s">
        <v>391</v>
      </c>
      <c r="AA95" s="326">
        <v>3</v>
      </c>
      <c r="AB95" s="326">
        <f t="shared" si="58"/>
        <v>88</v>
      </c>
      <c r="AC95" s="326">
        <v>91</v>
      </c>
      <c r="AD95" s="326"/>
      <c r="AE95" s="326"/>
      <c r="AF95" s="326">
        <v>31</v>
      </c>
      <c r="AG95" s="326"/>
      <c r="AH95" s="326"/>
      <c r="AI95" s="326">
        <v>57</v>
      </c>
      <c r="AK95" s="326">
        <v>1</v>
      </c>
      <c r="AL95" s="326">
        <f>AM95-AK95</f>
        <v>3</v>
      </c>
      <c r="AM95" s="326">
        <v>4</v>
      </c>
      <c r="AN95" s="326"/>
      <c r="AO95" s="326"/>
      <c r="AP95" s="326"/>
      <c r="AQ95" s="326"/>
      <c r="AR95" s="326"/>
      <c r="AS95" s="326"/>
      <c r="AU95" s="327"/>
      <c r="AV95" s="327"/>
      <c r="AW95" s="327"/>
      <c r="AY95" s="383" t="s">
        <v>390</v>
      </c>
    </row>
    <row r="96" spans="1:131">
      <c r="A96" s="379">
        <v>93</v>
      </c>
      <c r="B96" s="48" t="s">
        <v>20</v>
      </c>
      <c r="C96" s="392" t="s">
        <v>44</v>
      </c>
      <c r="D96" s="414">
        <v>167.5</v>
      </c>
      <c r="E96" s="370">
        <v>0.35</v>
      </c>
      <c r="F96" s="110"/>
      <c r="G96" s="48">
        <f t="shared" si="62"/>
        <v>0</v>
      </c>
      <c r="H96" s="48">
        <f t="shared" si="62"/>
        <v>1</v>
      </c>
      <c r="I96" s="48">
        <f t="shared" si="59"/>
        <v>0</v>
      </c>
      <c r="J96" s="48" t="str">
        <f t="shared" si="60"/>
        <v/>
      </c>
      <c r="K96" s="48"/>
      <c r="L96" s="80"/>
      <c r="M96" s="48" t="str">
        <f t="shared" si="61"/>
        <v/>
      </c>
      <c r="N96" s="48" t="str">
        <f t="shared" si="57"/>
        <v/>
      </c>
      <c r="O96" s="48"/>
      <c r="P96" s="48" t="str">
        <f>IF(ISNUMBER(#REF!),ROUND(#REF!,0),"")</f>
        <v/>
      </c>
      <c r="Q96" s="48" t="str">
        <f>IF(ISNUMBER(#REF!),ROUND(#REF!,0),"")</f>
        <v/>
      </c>
      <c r="R96" s="80" t="str">
        <f t="shared" si="63"/>
        <v/>
      </c>
      <c r="S96" s="351"/>
      <c r="T96" s="110"/>
      <c r="U96" s="110"/>
      <c r="V96" s="110"/>
      <c r="W96" s="110"/>
      <c r="Y96" s="368" t="s">
        <v>408</v>
      </c>
      <c r="AA96" s="326">
        <v>16</v>
      </c>
      <c r="AB96" s="326">
        <f t="shared" ref="AB96:AB107" si="64">AC96-AA96</f>
        <v>197</v>
      </c>
      <c r="AC96" s="326">
        <v>213</v>
      </c>
      <c r="AD96" s="326"/>
      <c r="AE96" s="326"/>
      <c r="AF96" s="326">
        <v>28</v>
      </c>
      <c r="AG96" s="326"/>
      <c r="AH96" s="326"/>
      <c r="AI96" s="326">
        <v>169</v>
      </c>
      <c r="AK96" s="326">
        <v>0</v>
      </c>
      <c r="AL96" s="326">
        <f t="shared" ref="AL96:AL103" si="65">AM96-AK96</f>
        <v>1</v>
      </c>
      <c r="AM96" s="326">
        <v>1</v>
      </c>
      <c r="AN96" s="326"/>
      <c r="AO96" s="326"/>
      <c r="AP96" s="326"/>
      <c r="AQ96" s="326"/>
      <c r="AR96" s="326"/>
      <c r="AS96" s="326"/>
      <c r="AU96" s="326"/>
      <c r="AV96" s="326"/>
      <c r="AW96" s="326"/>
      <c r="AY96" s="370" t="s">
        <v>393</v>
      </c>
    </row>
    <row r="97" spans="1:140">
      <c r="A97" s="379">
        <v>94</v>
      </c>
      <c r="B97" s="48" t="s">
        <v>46</v>
      </c>
      <c r="C97" s="392" t="s">
        <v>128</v>
      </c>
      <c r="D97" s="370">
        <v>325</v>
      </c>
      <c r="E97" s="370">
        <v>3.5</v>
      </c>
      <c r="F97" s="110">
        <v>168</v>
      </c>
      <c r="G97" s="48">
        <f t="shared" si="62"/>
        <v>0</v>
      </c>
      <c r="H97" s="48">
        <f t="shared" si="62"/>
        <v>0</v>
      </c>
      <c r="I97" s="384">
        <f t="shared" si="59"/>
        <v>0</v>
      </c>
      <c r="J97" s="48" t="str">
        <f t="shared" si="60"/>
        <v/>
      </c>
      <c r="K97" s="48"/>
      <c r="L97" s="80"/>
      <c r="M97" s="48" t="str">
        <f t="shared" si="61"/>
        <v/>
      </c>
      <c r="N97" s="48" t="str">
        <f t="shared" si="57"/>
        <v/>
      </c>
      <c r="O97" s="48"/>
      <c r="P97" s="48" t="str">
        <f>IF(ISNUMBER(#REF!),ROUND(#REF!,0),"")</f>
        <v/>
      </c>
      <c r="Q97" s="48" t="str">
        <f>IF(ISNUMBER(#REF!),ROUND(#REF!,0),"")</f>
        <v/>
      </c>
      <c r="R97" s="80" t="str">
        <f t="shared" si="63"/>
        <v/>
      </c>
      <c r="S97" s="351"/>
      <c r="T97" s="110"/>
      <c r="U97" s="110"/>
      <c r="V97" s="110"/>
      <c r="W97" s="110"/>
      <c r="Y97" s="368" t="s">
        <v>392</v>
      </c>
      <c r="AA97" s="326">
        <v>438</v>
      </c>
      <c r="AB97" s="326">
        <f t="shared" si="64"/>
        <v>30473</v>
      </c>
      <c r="AC97" s="326">
        <v>30911</v>
      </c>
      <c r="AD97" s="326"/>
      <c r="AE97" s="326"/>
      <c r="AF97" s="326">
        <v>269</v>
      </c>
      <c r="AG97" s="326"/>
      <c r="AH97" s="326"/>
      <c r="AI97" s="326">
        <v>30204</v>
      </c>
      <c r="AK97" s="326">
        <v>0</v>
      </c>
      <c r="AL97" s="326">
        <f t="shared" si="65"/>
        <v>146</v>
      </c>
      <c r="AM97" s="326">
        <v>146</v>
      </c>
      <c r="AN97" s="326"/>
      <c r="AO97" s="326"/>
      <c r="AP97" s="326"/>
      <c r="AQ97" s="326"/>
      <c r="AR97" s="326"/>
      <c r="AS97" s="326"/>
      <c r="AU97" s="326"/>
      <c r="AV97" s="326"/>
      <c r="AW97" s="326"/>
      <c r="AY97" s="370" t="s">
        <v>393</v>
      </c>
    </row>
    <row r="98" spans="1:140">
      <c r="A98" s="379">
        <v>95</v>
      </c>
      <c r="B98" s="48" t="s">
        <v>48</v>
      </c>
      <c r="C98" s="415" t="s">
        <v>49</v>
      </c>
      <c r="D98" s="370">
        <v>300</v>
      </c>
      <c r="E98" s="370">
        <v>4.4000000000000004</v>
      </c>
      <c r="F98" s="110"/>
      <c r="G98" s="48"/>
      <c r="H98" s="48">
        <f t="shared" si="62"/>
        <v>0</v>
      </c>
      <c r="I98" s="48">
        <f t="shared" si="59"/>
        <v>1</v>
      </c>
      <c r="J98" s="48" t="str">
        <f t="shared" si="60"/>
        <v/>
      </c>
      <c r="K98" s="48"/>
      <c r="L98" s="80">
        <f t="shared" si="54"/>
        <v>0</v>
      </c>
      <c r="M98" s="48" t="str">
        <f t="shared" si="61"/>
        <v/>
      </c>
      <c r="N98" s="48" t="str">
        <f t="shared" si="57"/>
        <v/>
      </c>
      <c r="O98" s="48">
        <f>IF(ISNUMBER(AS98/AI98*100),ROUND(AS98/AI98*100,0),"")</f>
        <v>0</v>
      </c>
      <c r="P98" s="48" t="str">
        <f>IF(ISNUMBER(#REF!),ROUND(#REF!,0),"")</f>
        <v/>
      </c>
      <c r="Q98" s="48" t="str">
        <f>IF(ISNUMBER(#REF!),ROUND(#REF!,0),"")</f>
        <v/>
      </c>
      <c r="R98" s="80" t="str">
        <f t="shared" si="63"/>
        <v/>
      </c>
      <c r="S98" s="351"/>
      <c r="T98" s="110"/>
      <c r="U98" s="110"/>
      <c r="V98" s="110"/>
      <c r="W98" s="110"/>
      <c r="Y98" s="368" t="s">
        <v>394</v>
      </c>
      <c r="AA98" s="326">
        <v>4</v>
      </c>
      <c r="AB98" s="326">
        <f t="shared" si="64"/>
        <v>312</v>
      </c>
      <c r="AC98" s="326">
        <v>316</v>
      </c>
      <c r="AD98" s="326"/>
      <c r="AE98" s="326"/>
      <c r="AF98" s="326">
        <v>60</v>
      </c>
      <c r="AG98" s="326"/>
      <c r="AH98" s="326"/>
      <c r="AI98" s="326">
        <v>252</v>
      </c>
      <c r="AK98" s="326">
        <v>4</v>
      </c>
      <c r="AL98" s="326">
        <f t="shared" si="65"/>
        <v>0</v>
      </c>
      <c r="AM98" s="326">
        <v>4</v>
      </c>
      <c r="AN98" s="326"/>
      <c r="AO98" s="326"/>
      <c r="AP98" s="326"/>
      <c r="AQ98" s="326"/>
      <c r="AR98" s="326"/>
      <c r="AS98" s="326"/>
      <c r="AU98" s="326"/>
      <c r="AV98" s="326"/>
      <c r="AW98" s="326"/>
      <c r="AY98" s="370" t="s">
        <v>393</v>
      </c>
    </row>
    <row r="99" spans="1:140">
      <c r="A99" s="379">
        <v>96</v>
      </c>
      <c r="B99" s="48" t="s">
        <v>48</v>
      </c>
      <c r="C99" s="442" t="s">
        <v>411</v>
      </c>
      <c r="D99" s="414">
        <v>100</v>
      </c>
      <c r="E99" s="370">
        <v>1.81</v>
      </c>
      <c r="F99" s="110"/>
      <c r="G99" s="48"/>
      <c r="H99" s="48">
        <f t="shared" si="62"/>
        <v>19</v>
      </c>
      <c r="I99" s="48">
        <f t="shared" si="59"/>
        <v>19</v>
      </c>
      <c r="J99" s="48" t="str">
        <f t="shared" si="60"/>
        <v/>
      </c>
      <c r="K99" s="48"/>
      <c r="L99" s="80"/>
      <c r="M99" s="48" t="str">
        <f t="shared" si="61"/>
        <v/>
      </c>
      <c r="N99" s="48" t="str">
        <f t="shared" si="57"/>
        <v/>
      </c>
      <c r="O99" s="48"/>
      <c r="P99" s="48" t="str">
        <f>IF(ISNUMBER(#REF!),ROUND(#REF!,0),"")</f>
        <v/>
      </c>
      <c r="Q99" s="48" t="str">
        <f>IF(ISNUMBER(#REF!),ROUND(#REF!,0),"")</f>
        <v/>
      </c>
      <c r="R99" s="80" t="str">
        <f t="shared" si="63"/>
        <v/>
      </c>
      <c r="S99" s="351"/>
      <c r="T99" s="110"/>
      <c r="U99" s="110"/>
      <c r="V99" s="110"/>
      <c r="W99" s="110"/>
      <c r="Y99" s="110" t="s">
        <v>395</v>
      </c>
      <c r="AA99" s="326">
        <v>0</v>
      </c>
      <c r="AB99" s="326">
        <f t="shared" si="64"/>
        <v>909</v>
      </c>
      <c r="AC99" s="326">
        <v>909</v>
      </c>
      <c r="AD99" s="326"/>
      <c r="AE99" s="326"/>
      <c r="AF99" s="326">
        <v>423</v>
      </c>
      <c r="AG99" s="326"/>
      <c r="AH99" s="326"/>
      <c r="AI99" s="326">
        <v>486</v>
      </c>
      <c r="AK99" s="326"/>
      <c r="AL99" s="326">
        <f t="shared" si="65"/>
        <v>175</v>
      </c>
      <c r="AM99" s="326">
        <v>175</v>
      </c>
      <c r="AN99" s="326"/>
      <c r="AO99" s="326"/>
      <c r="AP99" s="326"/>
      <c r="AQ99" s="326"/>
      <c r="AR99" s="326"/>
      <c r="AS99" s="326"/>
      <c r="AU99" s="326"/>
      <c r="AV99" s="326"/>
      <c r="AW99" s="326"/>
      <c r="AY99" s="370" t="s">
        <v>393</v>
      </c>
    </row>
    <row r="100" spans="1:140">
      <c r="A100" s="379">
        <v>97</v>
      </c>
      <c r="B100" s="48" t="s">
        <v>20</v>
      </c>
      <c r="C100" s="392" t="s">
        <v>44</v>
      </c>
      <c r="D100" s="370">
        <v>350</v>
      </c>
      <c r="E100" s="370">
        <v>1.1399999999999999</v>
      </c>
      <c r="F100" s="110"/>
      <c r="G100" s="48">
        <f t="shared" si="62"/>
        <v>8</v>
      </c>
      <c r="H100" s="48">
        <f t="shared" si="62"/>
        <v>2</v>
      </c>
      <c r="I100" s="48">
        <f t="shared" si="59"/>
        <v>5</v>
      </c>
      <c r="J100" s="48"/>
      <c r="K100" s="110"/>
      <c r="L100" s="80"/>
      <c r="M100" s="110"/>
      <c r="N100" s="110"/>
      <c r="O100" s="110"/>
      <c r="P100" s="110"/>
      <c r="Q100" s="110"/>
      <c r="R100" s="110"/>
      <c r="S100" s="351"/>
      <c r="T100" s="110"/>
      <c r="U100" s="110"/>
      <c r="V100" s="110"/>
      <c r="W100" s="110"/>
      <c r="Y100" s="110" t="s">
        <v>396</v>
      </c>
      <c r="AA100" s="326">
        <v>59</v>
      </c>
      <c r="AB100" s="326">
        <f t="shared" si="64"/>
        <v>86</v>
      </c>
      <c r="AC100" s="326">
        <v>145</v>
      </c>
      <c r="AD100" s="326">
        <v>55</v>
      </c>
      <c r="AE100" s="326">
        <v>1</v>
      </c>
      <c r="AF100" s="326">
        <v>56</v>
      </c>
      <c r="AG100" s="326">
        <v>30</v>
      </c>
      <c r="AH100" s="326">
        <v>0</v>
      </c>
      <c r="AI100" s="326">
        <v>30</v>
      </c>
      <c r="AK100" s="326">
        <v>5</v>
      </c>
      <c r="AL100" s="326">
        <f t="shared" si="65"/>
        <v>2</v>
      </c>
      <c r="AM100" s="326">
        <v>7</v>
      </c>
      <c r="AN100" s="326"/>
      <c r="AO100" s="326"/>
      <c r="AP100" s="326"/>
      <c r="AQ100" s="326"/>
      <c r="AR100" s="326"/>
      <c r="AS100" s="326"/>
      <c r="AU100" s="326"/>
      <c r="AV100" s="326"/>
      <c r="AW100" s="326"/>
      <c r="AY100" s="370" t="s">
        <v>397</v>
      </c>
    </row>
    <row r="101" spans="1:140">
      <c r="A101" s="379">
        <v>98</v>
      </c>
      <c r="B101" s="48" t="s">
        <v>48</v>
      </c>
      <c r="C101" s="392" t="s">
        <v>409</v>
      </c>
      <c r="D101" s="370">
        <v>180</v>
      </c>
      <c r="E101" s="370">
        <v>1.05</v>
      </c>
      <c r="F101" s="110">
        <v>185</v>
      </c>
      <c r="G101" s="48">
        <f t="shared" ref="G101:I103" si="66">IF(ISNUMBER(AK101/AA101*100),ROUND(AK101/AA101*100,0),"")</f>
        <v>1</v>
      </c>
      <c r="H101" s="48">
        <f t="shared" si="66"/>
        <v>0</v>
      </c>
      <c r="I101" s="48">
        <f t="shared" si="66"/>
        <v>1</v>
      </c>
      <c r="J101" s="48">
        <f t="shared" si="60"/>
        <v>0</v>
      </c>
      <c r="K101" s="80">
        <f>IF(ISNUMBER(AO101/AE101*100),ROUND(AO101/AE101*100,0),"")</f>
        <v>0</v>
      </c>
      <c r="L101" s="80">
        <f>IF(ISNUMBER(AP101/AF101*100),ROUND(AP101/AF101*100,0),"")</f>
        <v>0</v>
      </c>
      <c r="M101" s="80">
        <f>IF(ISNUMBER(AQ101/AG101*100),ROUND(AQ101/AG101*100,0),"")</f>
        <v>0</v>
      </c>
      <c r="N101" s="80">
        <f>IF(ISNUMBER(AR101/AH101*100),ROUND(AR101/AH101*100,0),"")</f>
        <v>0</v>
      </c>
      <c r="O101" s="80">
        <f>IF(ISNUMBER(AS101/AI101*100),ROUND(AS101/AI101*100,0),"")</f>
        <v>0</v>
      </c>
      <c r="P101" s="80">
        <f>IF(ISNUMBER(AU101),ROUND(AU101,0),"")</f>
        <v>0</v>
      </c>
      <c r="Q101" s="80">
        <f>IF(ISNUMBER(AV101),ROUND(AV101,0),"")</f>
        <v>0</v>
      </c>
      <c r="R101" s="80">
        <f t="shared" si="63"/>
        <v>0</v>
      </c>
      <c r="S101" s="351"/>
      <c r="T101" s="110"/>
      <c r="U101" s="110"/>
      <c r="V101" s="110"/>
      <c r="W101" s="110"/>
      <c r="Y101" s="110" t="s">
        <v>398</v>
      </c>
      <c r="AA101" s="326">
        <v>69</v>
      </c>
      <c r="AB101" s="326">
        <f t="shared" si="64"/>
        <v>49</v>
      </c>
      <c r="AC101" s="326">
        <v>118</v>
      </c>
      <c r="AD101" s="326">
        <v>41</v>
      </c>
      <c r="AE101" s="326">
        <v>5</v>
      </c>
      <c r="AF101" s="326">
        <f>SUM(AD101:AE101)</f>
        <v>46</v>
      </c>
      <c r="AG101" s="326">
        <v>2</v>
      </c>
      <c r="AH101" s="326">
        <v>1</v>
      </c>
      <c r="AI101" s="326">
        <f>SUM(AG101:AH101)</f>
        <v>3</v>
      </c>
      <c r="AK101" s="326">
        <v>1</v>
      </c>
      <c r="AL101" s="326">
        <f t="shared" si="65"/>
        <v>0</v>
      </c>
      <c r="AM101" s="326">
        <v>1</v>
      </c>
      <c r="AN101" s="326">
        <v>0</v>
      </c>
      <c r="AO101" s="326">
        <v>0</v>
      </c>
      <c r="AP101" s="326">
        <v>0</v>
      </c>
      <c r="AQ101" s="326">
        <v>0</v>
      </c>
      <c r="AR101" s="326">
        <v>0</v>
      </c>
      <c r="AS101" s="326">
        <v>0</v>
      </c>
      <c r="AU101" s="326">
        <v>0</v>
      </c>
      <c r="AV101" s="326">
        <v>0</v>
      </c>
      <c r="AW101" s="326">
        <v>0</v>
      </c>
      <c r="AY101" s="370" t="s">
        <v>397</v>
      </c>
    </row>
    <row r="102" spans="1:140">
      <c r="A102" s="379">
        <v>99</v>
      </c>
      <c r="B102" s="48" t="s">
        <v>48</v>
      </c>
      <c r="C102" s="442" t="s">
        <v>411</v>
      </c>
      <c r="D102" s="370">
        <v>1200</v>
      </c>
      <c r="E102" s="370"/>
      <c r="F102" s="110"/>
      <c r="G102" s="48">
        <f t="shared" si="66"/>
        <v>0</v>
      </c>
      <c r="H102" s="48">
        <f t="shared" si="66"/>
        <v>2</v>
      </c>
      <c r="I102" s="48">
        <f t="shared" si="66"/>
        <v>1</v>
      </c>
      <c r="J102" s="110"/>
      <c r="K102" s="110"/>
      <c r="L102" s="110"/>
      <c r="M102" s="110"/>
      <c r="N102" s="110"/>
      <c r="O102" s="110"/>
      <c r="P102" s="110"/>
      <c r="Q102" s="110"/>
      <c r="R102" s="110"/>
      <c r="S102" s="351"/>
      <c r="T102" s="110"/>
      <c r="U102" s="110"/>
      <c r="V102" s="110"/>
      <c r="W102" s="110"/>
      <c r="Y102" s="110" t="s">
        <v>399</v>
      </c>
      <c r="AA102" s="326">
        <v>65</v>
      </c>
      <c r="AB102" s="326">
        <f t="shared" si="64"/>
        <v>293</v>
      </c>
      <c r="AC102" s="326">
        <v>358</v>
      </c>
      <c r="AD102" s="326">
        <v>52</v>
      </c>
      <c r="AE102" s="326">
        <v>12</v>
      </c>
      <c r="AF102" s="326">
        <f>SUM(AD102:AE102)</f>
        <v>64</v>
      </c>
      <c r="AG102" s="326">
        <v>226</v>
      </c>
      <c r="AH102" s="326">
        <v>3</v>
      </c>
      <c r="AI102" s="326">
        <f>SUM(AG102:AH102)</f>
        <v>229</v>
      </c>
      <c r="AK102" s="326">
        <v>0</v>
      </c>
      <c r="AL102" s="326">
        <f t="shared" si="65"/>
        <v>5</v>
      </c>
      <c r="AM102" s="326">
        <v>5</v>
      </c>
      <c r="AN102" s="326"/>
      <c r="AO102" s="326"/>
      <c r="AP102" s="326"/>
      <c r="AQ102" s="326"/>
      <c r="AR102" s="326"/>
      <c r="AS102" s="326"/>
      <c r="AU102" s="326"/>
      <c r="AV102" s="326"/>
      <c r="AW102" s="327"/>
      <c r="AY102" s="370" t="s">
        <v>397</v>
      </c>
    </row>
    <row r="103" spans="1:140" s="169" customFormat="1" ht="15">
      <c r="A103" s="379">
        <v>100</v>
      </c>
      <c r="B103" s="80" t="s">
        <v>20</v>
      </c>
      <c r="C103" s="393" t="s">
        <v>44</v>
      </c>
      <c r="D103" s="386">
        <v>90</v>
      </c>
      <c r="E103" s="388">
        <v>0.64</v>
      </c>
      <c r="F103" s="387"/>
      <c r="G103" s="80"/>
      <c r="H103" s="80">
        <f t="shared" si="66"/>
        <v>0</v>
      </c>
      <c r="I103" s="80">
        <f t="shared" si="66"/>
        <v>0</v>
      </c>
      <c r="J103" s="80">
        <f>IF(ISNUMBER(AN103/AD103*100),ROUND(AN103/AD103*100,0),"")</f>
        <v>0</v>
      </c>
      <c r="K103" s="80">
        <f>IF(ISNUMBER(AO103/AE103*100),ROUND(AO103/AE103*100,0),"")</f>
        <v>0</v>
      </c>
      <c r="L103" s="80">
        <f>IF(ISNUMBER(AP103/AF103*100),ROUND(AP103/AF103*100,0),"")</f>
        <v>0</v>
      </c>
      <c r="M103" s="80">
        <f>IF(ISNUMBER(AQ103/AG103*100),ROUND(AQ103/AG103*100,0),"")</f>
        <v>0</v>
      </c>
      <c r="N103" s="80">
        <v>0</v>
      </c>
      <c r="O103" s="80">
        <f>IF(ISNUMBER(AS103/AI103*100),ROUND(AS103/AI103*100,0),"")</f>
        <v>0</v>
      </c>
      <c r="P103" s="80">
        <f>IF(ISNUMBER(AU103),ROUND(AU103,0),"")</f>
        <v>0</v>
      </c>
      <c r="Q103" s="80">
        <f>IF(ISNUMBER(AV103),ROUND(AV103,0),"")</f>
        <v>0</v>
      </c>
      <c r="R103" s="80">
        <f>IF(ISNUMBER(AW103),ROUND(AW103,0),"")</f>
        <v>0</v>
      </c>
      <c r="S103" s="387"/>
      <c r="T103" s="387"/>
      <c r="U103" s="387"/>
      <c r="V103" s="387"/>
      <c r="W103" s="387"/>
      <c r="X103" s="4"/>
      <c r="Y103" s="388" t="s">
        <v>400</v>
      </c>
      <c r="Z103" s="4"/>
      <c r="AA103" s="389">
        <v>7</v>
      </c>
      <c r="AB103" s="387">
        <f t="shared" si="64"/>
        <v>62</v>
      </c>
      <c r="AC103" s="387">
        <v>69</v>
      </c>
      <c r="AD103" s="387">
        <v>47</v>
      </c>
      <c r="AE103" s="387">
        <v>2</v>
      </c>
      <c r="AF103" s="387">
        <f>SUM(AD103:AE103)</f>
        <v>49</v>
      </c>
      <c r="AG103" s="387">
        <v>13</v>
      </c>
      <c r="AH103" s="387">
        <v>0</v>
      </c>
      <c r="AI103" s="387">
        <f>SUM(AG103:AH103)</f>
        <v>13</v>
      </c>
      <c r="AJ103" s="4"/>
      <c r="AK103" s="387">
        <v>0</v>
      </c>
      <c r="AL103" s="387">
        <f t="shared" si="65"/>
        <v>0</v>
      </c>
      <c r="AM103" s="387">
        <v>0</v>
      </c>
      <c r="AN103" s="387">
        <v>0</v>
      </c>
      <c r="AO103" s="387">
        <v>0</v>
      </c>
      <c r="AP103" s="387">
        <v>0</v>
      </c>
      <c r="AQ103" s="387">
        <v>0</v>
      </c>
      <c r="AR103" s="387">
        <v>0</v>
      </c>
      <c r="AS103" s="387">
        <v>0</v>
      </c>
      <c r="AT103" s="4"/>
      <c r="AU103" s="327">
        <v>0</v>
      </c>
      <c r="AV103" s="327">
        <v>0</v>
      </c>
      <c r="AW103" s="327">
        <v>0</v>
      </c>
      <c r="AX103" s="4"/>
      <c r="AY103" s="388" t="s">
        <v>397</v>
      </c>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c r="BX103" s="4"/>
      <c r="BY103" s="4"/>
      <c r="BZ103" s="4"/>
      <c r="CA103" s="4"/>
      <c r="CB103" s="4"/>
      <c r="CC103" s="4"/>
      <c r="CD103" s="4"/>
      <c r="CE103" s="4"/>
      <c r="CF103" s="4"/>
      <c r="CG103" s="4"/>
      <c r="CH103" s="4"/>
      <c r="CI103" s="4"/>
      <c r="CJ103" s="4"/>
      <c r="CK103" s="4"/>
      <c r="CL103" s="4"/>
      <c r="CM103" s="4"/>
      <c r="CN103" s="4"/>
      <c r="CO103" s="4"/>
      <c r="CP103" s="4"/>
      <c r="CQ103" s="4"/>
      <c r="CR103" s="4"/>
      <c r="CS103" s="4"/>
      <c r="CT103" s="4"/>
      <c r="CU103" s="4"/>
      <c r="CV103" s="4"/>
      <c r="CW103" s="4"/>
      <c r="CX103" s="4"/>
      <c r="CY103" s="4"/>
      <c r="CZ103" s="4"/>
      <c r="DA103" s="4"/>
      <c r="DB103" s="4"/>
      <c r="DC103" s="4"/>
      <c r="DD103" s="4"/>
      <c r="DE103" s="4"/>
      <c r="DF103" s="4"/>
      <c r="DG103" s="4"/>
      <c r="DH103" s="4"/>
      <c r="DI103" s="4"/>
      <c r="DJ103" s="4"/>
      <c r="DK103" s="4"/>
      <c r="DL103" s="4"/>
      <c r="DM103" s="4"/>
      <c r="DN103" s="4"/>
      <c r="DO103" s="4"/>
      <c r="DP103" s="4"/>
      <c r="DQ103" s="4"/>
      <c r="DR103" s="4"/>
      <c r="DS103" s="4"/>
      <c r="DT103" s="4"/>
      <c r="DU103" s="4"/>
      <c r="DV103" s="4"/>
      <c r="DW103" s="4"/>
      <c r="DX103" s="4"/>
      <c r="DY103" s="4"/>
      <c r="DZ103" s="4"/>
      <c r="EA103" s="4"/>
    </row>
    <row r="104" spans="1:140" s="169" customFormat="1" ht="15">
      <c r="A104" s="385">
        <v>101</v>
      </c>
      <c r="B104" s="48" t="s">
        <v>48</v>
      </c>
      <c r="C104" s="442" t="s">
        <v>411</v>
      </c>
      <c r="D104" s="354">
        <v>180</v>
      </c>
      <c r="E104" s="370">
        <v>1.07</v>
      </c>
      <c r="F104" s="326">
        <v>180</v>
      </c>
      <c r="G104" s="48">
        <f>IF(ISNUMBER(AK104/AA104*100),ROUND(AK104/AA104*100,0),"")</f>
        <v>33</v>
      </c>
      <c r="H104" s="48"/>
      <c r="I104" s="48"/>
      <c r="J104" s="48"/>
      <c r="K104" s="48"/>
      <c r="L104" s="48"/>
      <c r="M104" s="48"/>
      <c r="N104" s="48"/>
      <c r="O104" s="48"/>
      <c r="P104" s="48"/>
      <c r="Q104" s="48"/>
      <c r="R104" s="48"/>
      <c r="S104" s="326"/>
      <c r="T104" s="326"/>
      <c r="U104" s="326"/>
      <c r="V104" s="326"/>
      <c r="W104" s="326"/>
      <c r="X104" s="4"/>
      <c r="Y104" s="370" t="s">
        <v>402</v>
      </c>
      <c r="Z104" s="4"/>
      <c r="AA104" s="381">
        <v>30</v>
      </c>
      <c r="AB104" s="387">
        <f t="shared" si="64"/>
        <v>782</v>
      </c>
      <c r="AC104" s="326">
        <v>812</v>
      </c>
      <c r="AD104" s="326"/>
      <c r="AE104" s="326"/>
      <c r="AF104" s="387">
        <v>436</v>
      </c>
      <c r="AG104" s="326"/>
      <c r="AH104" s="326"/>
      <c r="AI104" s="387">
        <v>346</v>
      </c>
      <c r="AJ104" s="4"/>
      <c r="AK104" s="326">
        <v>10</v>
      </c>
      <c r="AL104" s="326"/>
      <c r="AM104" s="326"/>
      <c r="AN104" s="326"/>
      <c r="AO104" s="326"/>
      <c r="AP104" s="326"/>
      <c r="AQ104" s="326"/>
      <c r="AR104" s="326"/>
      <c r="AS104" s="326"/>
      <c r="AT104" s="4"/>
      <c r="AU104" s="327"/>
      <c r="AV104" s="327"/>
      <c r="AW104" s="327"/>
      <c r="AX104" s="4"/>
      <c r="AY104" s="370" t="s">
        <v>401</v>
      </c>
      <c r="AZ104" s="4"/>
      <c r="BA104" s="4"/>
      <c r="BB104" s="4"/>
      <c r="BC104" s="4"/>
      <c r="BD104" s="4"/>
      <c r="BE104" s="4"/>
      <c r="BF104" s="4"/>
      <c r="BG104" s="4"/>
      <c r="BH104" s="4"/>
      <c r="BI104" s="4"/>
      <c r="BJ104" s="4"/>
      <c r="BK104" s="4"/>
      <c r="BL104" s="4"/>
      <c r="BM104" s="4"/>
      <c r="BN104" s="4"/>
      <c r="BO104" s="4"/>
      <c r="BP104" s="4"/>
      <c r="BQ104" s="4"/>
      <c r="BR104" s="4"/>
      <c r="BS104" s="4"/>
      <c r="BT104" s="4"/>
      <c r="BU104" s="4"/>
      <c r="BV104" s="4"/>
      <c r="BW104" s="4"/>
      <c r="BX104" s="4"/>
      <c r="BY104" s="4"/>
      <c r="BZ104" s="4"/>
      <c r="CA104" s="4"/>
      <c r="CB104" s="4"/>
      <c r="CC104" s="4"/>
      <c r="CD104" s="4"/>
      <c r="CE104" s="4"/>
      <c r="CF104" s="4"/>
      <c r="CG104" s="4"/>
      <c r="CH104" s="4"/>
      <c r="CI104" s="4"/>
      <c r="CJ104" s="4"/>
      <c r="CK104" s="4"/>
      <c r="CL104" s="4"/>
      <c r="CM104" s="4"/>
      <c r="CN104" s="4"/>
      <c r="CO104" s="4"/>
      <c r="CP104" s="4"/>
      <c r="CQ104" s="4"/>
      <c r="CR104" s="4"/>
      <c r="CS104" s="4"/>
      <c r="CT104" s="4"/>
      <c r="CU104" s="4"/>
      <c r="CV104" s="4"/>
      <c r="CW104" s="4"/>
      <c r="CX104" s="4"/>
      <c r="CY104" s="4"/>
      <c r="CZ104" s="4"/>
      <c r="DA104" s="4"/>
      <c r="DB104" s="4"/>
      <c r="DC104" s="4"/>
      <c r="DD104" s="4"/>
      <c r="DE104" s="4"/>
      <c r="DF104" s="4"/>
      <c r="DG104" s="4"/>
      <c r="DH104" s="4"/>
      <c r="DI104" s="4"/>
      <c r="DJ104" s="4"/>
      <c r="DK104" s="4"/>
      <c r="DL104" s="4"/>
      <c r="DM104" s="4"/>
      <c r="DN104" s="4"/>
      <c r="DO104" s="4"/>
      <c r="DP104" s="4"/>
      <c r="DQ104" s="4"/>
      <c r="DR104" s="4"/>
      <c r="DS104" s="4"/>
      <c r="DT104" s="4"/>
      <c r="DU104" s="4"/>
      <c r="DV104" s="4"/>
      <c r="DW104" s="4"/>
      <c r="DX104" s="4"/>
      <c r="DY104" s="4"/>
      <c r="DZ104" s="4"/>
      <c r="EA104" s="4"/>
    </row>
    <row r="105" spans="1:140" s="169" customFormat="1" ht="15">
      <c r="A105" s="385">
        <v>102</v>
      </c>
      <c r="B105" s="48" t="s">
        <v>48</v>
      </c>
      <c r="C105" s="392" t="s">
        <v>49</v>
      </c>
      <c r="D105" s="391">
        <v>120</v>
      </c>
      <c r="E105" s="370">
        <v>340</v>
      </c>
      <c r="F105" s="326">
        <v>340</v>
      </c>
      <c r="G105" s="48"/>
      <c r="H105" s="80">
        <f t="shared" ref="H105:I107" si="67">IF(ISNUMBER(AL105/AB105*100),ROUND(AL105/AB105*100,0),"")</f>
        <v>0</v>
      </c>
      <c r="I105" s="80">
        <f t="shared" si="67"/>
        <v>0</v>
      </c>
      <c r="J105" s="48"/>
      <c r="K105" s="48"/>
      <c r="L105" s="48"/>
      <c r="M105" s="48"/>
      <c r="N105" s="48"/>
      <c r="O105" s="48"/>
      <c r="P105" s="48"/>
      <c r="Q105" s="48"/>
      <c r="R105" s="48"/>
      <c r="S105" s="326"/>
      <c r="T105" s="326"/>
      <c r="U105" s="326"/>
      <c r="V105" s="326"/>
      <c r="W105" s="326"/>
      <c r="X105" s="4"/>
      <c r="Y105" s="370" t="s">
        <v>403</v>
      </c>
      <c r="Z105" s="4"/>
      <c r="AA105" s="381">
        <v>5</v>
      </c>
      <c r="AB105" s="387">
        <f t="shared" si="64"/>
        <v>2285</v>
      </c>
      <c r="AC105" s="326">
        <v>2290</v>
      </c>
      <c r="AD105" s="326"/>
      <c r="AE105" s="326"/>
      <c r="AF105" s="387">
        <v>2223</v>
      </c>
      <c r="AG105" s="326"/>
      <c r="AH105" s="326"/>
      <c r="AI105" s="387">
        <f>AC105-AF105-AA105</f>
        <v>62</v>
      </c>
      <c r="AJ105" s="4"/>
      <c r="AK105" s="326">
        <v>1</v>
      </c>
      <c r="AL105" s="326">
        <v>0</v>
      </c>
      <c r="AM105" s="326">
        <v>1</v>
      </c>
      <c r="AN105" s="326"/>
      <c r="AO105" s="326"/>
      <c r="AP105" s="326"/>
      <c r="AQ105" s="326"/>
      <c r="AR105" s="326"/>
      <c r="AS105" s="326"/>
      <c r="AT105" s="4"/>
      <c r="AU105" s="327"/>
      <c r="AV105" s="327"/>
      <c r="AW105" s="327"/>
      <c r="AX105" s="4"/>
      <c r="AY105" s="370" t="s">
        <v>401</v>
      </c>
      <c r="AZ105" s="4"/>
      <c r="BA105" s="4"/>
      <c r="BB105" s="4"/>
      <c r="BC105" s="4"/>
      <c r="BD105" s="4"/>
      <c r="BE105" s="4"/>
      <c r="BF105" s="4"/>
      <c r="BG105" s="4"/>
      <c r="BH105" s="4"/>
      <c r="BI105" s="4"/>
      <c r="BJ105" s="4"/>
      <c r="BK105" s="4"/>
      <c r="BL105" s="4"/>
      <c r="BM105" s="4"/>
      <c r="BN105" s="4"/>
      <c r="BO105" s="4"/>
      <c r="BP105" s="4"/>
      <c r="BQ105" s="4"/>
      <c r="BR105" s="4"/>
      <c r="BS105" s="4"/>
      <c r="BT105" s="4"/>
      <c r="BU105" s="4"/>
      <c r="BV105" s="4"/>
      <c r="BW105" s="4"/>
      <c r="BX105" s="4"/>
      <c r="BY105" s="4"/>
      <c r="BZ105" s="4"/>
      <c r="CA105" s="4"/>
      <c r="CB105" s="4"/>
      <c r="CC105" s="4"/>
      <c r="CD105" s="4"/>
      <c r="CE105" s="4"/>
      <c r="CF105" s="4"/>
      <c r="CG105" s="4"/>
      <c r="CH105" s="4"/>
      <c r="CI105" s="4"/>
      <c r="CJ105" s="4"/>
      <c r="CK105" s="4"/>
      <c r="CL105" s="4"/>
      <c r="CM105" s="4"/>
      <c r="CN105" s="4"/>
      <c r="CO105" s="4"/>
      <c r="CP105" s="4"/>
      <c r="CQ105" s="4"/>
      <c r="CR105" s="4"/>
      <c r="CS105" s="4"/>
      <c r="CT105" s="4"/>
      <c r="CU105" s="4"/>
      <c r="CV105" s="4"/>
      <c r="CW105" s="4"/>
      <c r="CX105" s="4"/>
      <c r="CY105" s="4"/>
      <c r="CZ105" s="4"/>
      <c r="DA105" s="4"/>
      <c r="DB105" s="4"/>
      <c r="DC105" s="4"/>
      <c r="DD105" s="4"/>
      <c r="DE105" s="4"/>
      <c r="DF105" s="4"/>
      <c r="DG105" s="4"/>
      <c r="DH105" s="4"/>
      <c r="DI105" s="4"/>
      <c r="DJ105" s="4"/>
      <c r="DK105" s="4"/>
      <c r="DL105" s="4"/>
      <c r="DM105" s="4"/>
      <c r="DN105" s="4"/>
      <c r="DO105" s="4"/>
      <c r="DP105" s="4"/>
      <c r="DQ105" s="4"/>
      <c r="DR105" s="4"/>
      <c r="DS105" s="4"/>
      <c r="DT105" s="4"/>
      <c r="DU105" s="4"/>
      <c r="DV105" s="4"/>
      <c r="DW105" s="4"/>
      <c r="DX105" s="4"/>
      <c r="DY105" s="4"/>
      <c r="DZ105" s="4"/>
      <c r="EA105" s="4"/>
    </row>
    <row r="106" spans="1:140" s="169" customFormat="1" ht="15">
      <c r="A106" s="385">
        <v>103</v>
      </c>
      <c r="B106" s="48" t="s">
        <v>226</v>
      </c>
      <c r="C106" s="392" t="s">
        <v>108</v>
      </c>
      <c r="D106" s="391">
        <v>80</v>
      </c>
      <c r="E106" s="370">
        <v>0.3</v>
      </c>
      <c r="F106" s="326"/>
      <c r="G106" s="48"/>
      <c r="H106" s="80">
        <f t="shared" si="67"/>
        <v>11</v>
      </c>
      <c r="I106" s="48">
        <f t="shared" si="67"/>
        <v>11</v>
      </c>
      <c r="J106" s="48"/>
      <c r="K106" s="48"/>
      <c r="L106" s="48"/>
      <c r="M106" s="48"/>
      <c r="N106" s="48"/>
      <c r="O106" s="48"/>
      <c r="P106" s="48"/>
      <c r="Q106" s="48"/>
      <c r="R106" s="48"/>
      <c r="S106" s="326"/>
      <c r="T106" s="326"/>
      <c r="U106" s="326"/>
      <c r="V106" s="326"/>
      <c r="W106" s="326"/>
      <c r="X106" s="4"/>
      <c r="Y106" s="370" t="s">
        <v>404</v>
      </c>
      <c r="Z106" s="4"/>
      <c r="AA106" s="381">
        <v>5</v>
      </c>
      <c r="AB106" s="387">
        <f t="shared" si="64"/>
        <v>1241</v>
      </c>
      <c r="AC106" s="326">
        <v>1246</v>
      </c>
      <c r="AD106" s="326"/>
      <c r="AE106" s="326"/>
      <c r="AF106" s="326">
        <v>524</v>
      </c>
      <c r="AG106" s="326"/>
      <c r="AH106" s="326"/>
      <c r="AI106" s="326">
        <f>AC106-AF106-AA106</f>
        <v>717</v>
      </c>
      <c r="AJ106" s="4"/>
      <c r="AK106" s="326">
        <v>2</v>
      </c>
      <c r="AL106" s="326">
        <f>AM106-AK106</f>
        <v>135</v>
      </c>
      <c r="AM106" s="326">
        <v>137</v>
      </c>
      <c r="AN106" s="326"/>
      <c r="AO106" s="326"/>
      <c r="AP106" s="326"/>
      <c r="AQ106" s="326"/>
      <c r="AR106" s="326"/>
      <c r="AS106" s="326"/>
      <c r="AT106" s="4"/>
      <c r="AU106" s="327"/>
      <c r="AV106" s="327"/>
      <c r="AW106" s="327"/>
      <c r="AX106" s="4"/>
      <c r="AY106" s="370" t="s">
        <v>401</v>
      </c>
      <c r="AZ106" s="4"/>
      <c r="BA106" s="4"/>
      <c r="BB106" s="4"/>
      <c r="BC106" s="4"/>
      <c r="BD106" s="4"/>
      <c r="BE106" s="4"/>
      <c r="BF106" s="4"/>
      <c r="BG106" s="4"/>
      <c r="BH106" s="4"/>
      <c r="BI106" s="4"/>
      <c r="BJ106" s="4"/>
      <c r="BK106" s="4"/>
      <c r="BL106" s="4"/>
      <c r="BM106" s="4"/>
      <c r="BN106" s="4"/>
      <c r="BO106" s="4"/>
      <c r="BP106" s="4"/>
      <c r="BQ106" s="4"/>
      <c r="BR106" s="4"/>
      <c r="BS106" s="4"/>
      <c r="BT106" s="4"/>
      <c r="BU106" s="4"/>
      <c r="BV106" s="4"/>
      <c r="BW106" s="4"/>
      <c r="BX106" s="4"/>
      <c r="BY106" s="4"/>
      <c r="BZ106" s="4"/>
      <c r="CA106" s="4"/>
      <c r="CB106" s="4"/>
      <c r="CC106" s="4"/>
      <c r="CD106" s="4"/>
      <c r="CE106" s="4"/>
      <c r="CF106" s="4"/>
      <c r="CG106" s="4"/>
      <c r="CH106" s="4"/>
      <c r="CI106" s="4"/>
      <c r="CJ106" s="4"/>
      <c r="CK106" s="4"/>
      <c r="CL106" s="4"/>
      <c r="CM106" s="4"/>
      <c r="CN106" s="4"/>
      <c r="CO106" s="4"/>
      <c r="CP106" s="4"/>
      <c r="CQ106" s="4"/>
      <c r="CR106" s="4"/>
      <c r="CS106" s="4"/>
      <c r="CT106" s="4"/>
      <c r="CU106" s="4"/>
      <c r="CV106" s="4"/>
      <c r="CW106" s="4"/>
      <c r="CX106" s="4"/>
      <c r="CY106" s="4"/>
      <c r="CZ106" s="4"/>
      <c r="DA106" s="4"/>
      <c r="DB106" s="4"/>
      <c r="DC106" s="4"/>
      <c r="DD106" s="4"/>
      <c r="DE106" s="4"/>
      <c r="DF106" s="4"/>
      <c r="DG106" s="4"/>
      <c r="DH106" s="4"/>
      <c r="DI106" s="4"/>
      <c r="DJ106" s="4"/>
      <c r="DK106" s="4"/>
      <c r="DL106" s="4"/>
      <c r="DM106" s="4"/>
      <c r="DN106" s="4"/>
      <c r="DO106" s="4"/>
      <c r="DP106" s="4"/>
      <c r="DQ106" s="4"/>
      <c r="DR106" s="4"/>
      <c r="DS106" s="4"/>
      <c r="DT106" s="4"/>
      <c r="DU106" s="4"/>
      <c r="DV106" s="4"/>
      <c r="DW106" s="4"/>
      <c r="DX106" s="4"/>
      <c r="DY106" s="4"/>
      <c r="DZ106" s="4"/>
      <c r="EA106" s="4"/>
    </row>
    <row r="107" spans="1:140">
      <c r="A107" s="385">
        <v>104</v>
      </c>
      <c r="B107" s="48" t="s">
        <v>48</v>
      </c>
      <c r="C107" s="442" t="s">
        <v>411</v>
      </c>
      <c r="D107" s="370">
        <v>900</v>
      </c>
      <c r="E107" s="370">
        <v>0.2</v>
      </c>
      <c r="F107" s="110">
        <v>77</v>
      </c>
      <c r="G107" s="110"/>
      <c r="H107" s="48">
        <f t="shared" si="67"/>
        <v>0</v>
      </c>
      <c r="I107" s="48">
        <f t="shared" si="67"/>
        <v>0</v>
      </c>
      <c r="J107" s="110"/>
      <c r="K107" s="110"/>
      <c r="L107" s="110"/>
      <c r="M107" s="110"/>
      <c r="N107" s="110"/>
      <c r="O107" s="110"/>
      <c r="P107" s="110"/>
      <c r="Q107" s="110"/>
      <c r="R107" s="110"/>
      <c r="S107" s="351"/>
      <c r="T107" s="110"/>
      <c r="U107" s="110"/>
      <c r="V107" s="110"/>
      <c r="W107" s="110"/>
      <c r="Y107" s="368" t="s">
        <v>405</v>
      </c>
      <c r="AA107" s="326">
        <v>0</v>
      </c>
      <c r="AB107" s="326">
        <f t="shared" si="64"/>
        <v>635</v>
      </c>
      <c r="AC107" s="326">
        <v>635</v>
      </c>
      <c r="AD107" s="326"/>
      <c r="AE107" s="326"/>
      <c r="AF107" s="326">
        <v>531</v>
      </c>
      <c r="AG107" s="326"/>
      <c r="AH107" s="326"/>
      <c r="AI107" s="326">
        <f>AB107-AF107</f>
        <v>104</v>
      </c>
      <c r="AK107" s="326"/>
      <c r="AL107" s="326">
        <v>0</v>
      </c>
      <c r="AM107" s="326">
        <v>0</v>
      </c>
      <c r="AN107" s="326"/>
      <c r="AO107" s="326"/>
      <c r="AP107" s="326"/>
      <c r="AQ107" s="326"/>
      <c r="AR107" s="326"/>
      <c r="AS107" s="326"/>
      <c r="AU107" s="326"/>
      <c r="AV107" s="326"/>
      <c r="AW107" s="326"/>
      <c r="AY107" s="370" t="s">
        <v>401</v>
      </c>
    </row>
    <row r="108" spans="1:140">
      <c r="C108" s="164"/>
      <c r="D108" s="164"/>
      <c r="X108" s="4"/>
      <c r="EB108" s="4"/>
      <c r="EC108" s="4"/>
      <c r="ED108" s="4"/>
    </row>
    <row r="109" spans="1:140">
      <c r="G109" s="168" t="s">
        <v>237</v>
      </c>
      <c r="P109" s="163"/>
      <c r="Q109" s="163"/>
      <c r="R109" s="163"/>
      <c r="T109" s="168" t="s">
        <v>250</v>
      </c>
      <c r="X109" s="4"/>
      <c r="AG109" s="209" t="s">
        <v>288</v>
      </c>
      <c r="AT109" s="209" t="s">
        <v>289</v>
      </c>
      <c r="BG109" s="209" t="s">
        <v>348</v>
      </c>
      <c r="EB109" s="4"/>
      <c r="EC109" s="4"/>
      <c r="ED109" s="4"/>
      <c r="EE109" s="4"/>
      <c r="EF109" s="4"/>
      <c r="EG109" s="4"/>
      <c r="EH109" s="4"/>
      <c r="EI109" s="4"/>
      <c r="EJ109" s="4"/>
    </row>
    <row r="110" spans="1:140" ht="109.5">
      <c r="B110" s="332"/>
      <c r="G110" s="335" t="s">
        <v>229</v>
      </c>
      <c r="H110" s="335" t="s">
        <v>244</v>
      </c>
      <c r="I110" s="335" t="s">
        <v>60</v>
      </c>
      <c r="J110" s="335" t="s">
        <v>246</v>
      </c>
      <c r="K110" s="335" t="s">
        <v>245</v>
      </c>
      <c r="L110" s="335" t="s">
        <v>247</v>
      </c>
      <c r="M110" s="335" t="s">
        <v>248</v>
      </c>
      <c r="N110" s="335" t="s">
        <v>349</v>
      </c>
      <c r="O110" s="335" t="s">
        <v>249</v>
      </c>
      <c r="P110" s="335" t="s">
        <v>350</v>
      </c>
      <c r="Q110" s="335" t="s">
        <v>351</v>
      </c>
      <c r="R110" s="335" t="s">
        <v>352</v>
      </c>
      <c r="S110" s="332"/>
      <c r="T110" s="335" t="str">
        <f t="shared" ref="T110:AE110" si="68">G110</f>
        <v>aal</v>
      </c>
      <c r="U110" s="335" t="str">
        <f t="shared" si="68"/>
        <v xml:space="preserve">overige vissoorten </v>
      </c>
      <c r="V110" s="335" t="str">
        <f t="shared" si="68"/>
        <v>totaal</v>
      </c>
      <c r="W110" s="335" t="str">
        <f t="shared" si="68"/>
        <v>baarsachtigen &lt; 15cm</v>
      </c>
      <c r="X110" s="335" t="str">
        <f t="shared" si="68"/>
        <v>baarsachtigen &gt; 15cm</v>
      </c>
      <c r="Y110" s="178" t="str">
        <f t="shared" si="68"/>
        <v>baarsachtigen totaal</v>
      </c>
      <c r="Z110" s="178" t="str">
        <f t="shared" si="68"/>
        <v>karperachtigen &lt; 15cm</v>
      </c>
      <c r="AA110" s="178" t="str">
        <f t="shared" si="68"/>
        <v xml:space="preserve"> karperachtigen &gt; 15cm</v>
      </c>
      <c r="AB110" s="178" t="str">
        <f t="shared" si="68"/>
        <v>karperachtigen totaal</v>
      </c>
      <c r="AC110" s="178" t="str">
        <f t="shared" si="68"/>
        <v>schubvis &lt;15cm</v>
      </c>
      <c r="AD110" s="178" t="str">
        <f t="shared" si="68"/>
        <v>schubvis &gt;15cm</v>
      </c>
      <c r="AE110" s="178" t="str">
        <f t="shared" si="68"/>
        <v>totaal schubvis</v>
      </c>
      <c r="AG110" s="178" t="str">
        <f t="shared" ref="AG110:AR110" si="69">G110</f>
        <v>aal</v>
      </c>
      <c r="AH110" s="178" t="str">
        <f t="shared" si="69"/>
        <v xml:space="preserve">overige vissoorten </v>
      </c>
      <c r="AI110" s="178" t="str">
        <f t="shared" si="69"/>
        <v>totaal</v>
      </c>
      <c r="AJ110" s="178" t="str">
        <f t="shared" si="69"/>
        <v>baarsachtigen &lt; 15cm</v>
      </c>
      <c r="AK110" s="178" t="str">
        <f t="shared" si="69"/>
        <v>baarsachtigen &gt; 15cm</v>
      </c>
      <c r="AL110" s="178" t="str">
        <f t="shared" si="69"/>
        <v>baarsachtigen totaal</v>
      </c>
      <c r="AM110" s="178" t="str">
        <f t="shared" si="69"/>
        <v>karperachtigen &lt; 15cm</v>
      </c>
      <c r="AN110" s="178" t="str">
        <f t="shared" si="69"/>
        <v xml:space="preserve"> karperachtigen &gt; 15cm</v>
      </c>
      <c r="AO110" s="178" t="str">
        <f t="shared" si="69"/>
        <v>karperachtigen totaal</v>
      </c>
      <c r="AP110" s="178" t="str">
        <f t="shared" si="69"/>
        <v>schubvis &lt;15cm</v>
      </c>
      <c r="AQ110" s="178" t="str">
        <f t="shared" si="69"/>
        <v>schubvis &gt;15cm</v>
      </c>
      <c r="AR110" s="178" t="str">
        <f t="shared" si="69"/>
        <v>totaal schubvis</v>
      </c>
      <c r="AT110" s="178" t="str">
        <f t="shared" ref="AT110:BE110" si="70">G110</f>
        <v>aal</v>
      </c>
      <c r="AU110" s="178" t="str">
        <f t="shared" si="70"/>
        <v xml:space="preserve">overige vissoorten </v>
      </c>
      <c r="AV110" s="178" t="str">
        <f t="shared" si="70"/>
        <v>totaal</v>
      </c>
      <c r="AW110" s="178" t="str">
        <f t="shared" si="70"/>
        <v>baarsachtigen &lt; 15cm</v>
      </c>
      <c r="AX110" s="178" t="str">
        <f t="shared" si="70"/>
        <v>baarsachtigen &gt; 15cm</v>
      </c>
      <c r="AY110" s="178" t="str">
        <f t="shared" si="70"/>
        <v>baarsachtigen totaal</v>
      </c>
      <c r="AZ110" s="178" t="str">
        <f t="shared" si="70"/>
        <v>karperachtigen &lt; 15cm</v>
      </c>
      <c r="BA110" s="178" t="str">
        <f t="shared" si="70"/>
        <v xml:space="preserve"> karperachtigen &gt; 15cm</v>
      </c>
      <c r="BB110" s="178" t="str">
        <f t="shared" si="70"/>
        <v>karperachtigen totaal</v>
      </c>
      <c r="BC110" s="178" t="str">
        <f t="shared" si="70"/>
        <v>schubvis &lt;15cm</v>
      </c>
      <c r="BD110" s="178" t="str">
        <f t="shared" si="70"/>
        <v>schubvis &gt;15cm</v>
      </c>
      <c r="BE110" s="178" t="str">
        <f t="shared" si="70"/>
        <v>totaal schubvis</v>
      </c>
      <c r="BF110" s="178"/>
      <c r="BG110" s="178" t="str">
        <f t="shared" ref="BG110:BR110" si="71">T110</f>
        <v>aal</v>
      </c>
      <c r="BH110" s="178" t="str">
        <f t="shared" si="71"/>
        <v xml:space="preserve">overige vissoorten </v>
      </c>
      <c r="BI110" s="178" t="str">
        <f t="shared" si="71"/>
        <v>totaal</v>
      </c>
      <c r="BJ110" s="178" t="str">
        <f t="shared" si="71"/>
        <v>baarsachtigen &lt; 15cm</v>
      </c>
      <c r="BK110" s="178" t="str">
        <f t="shared" si="71"/>
        <v>baarsachtigen &gt; 15cm</v>
      </c>
      <c r="BL110" s="178" t="str">
        <f t="shared" si="71"/>
        <v>baarsachtigen totaal</v>
      </c>
      <c r="BM110" s="178" t="str">
        <f t="shared" si="71"/>
        <v>karperachtigen &lt; 15cm</v>
      </c>
      <c r="BN110" s="178" t="str">
        <f t="shared" si="71"/>
        <v xml:space="preserve"> karperachtigen &gt; 15cm</v>
      </c>
      <c r="BO110" s="178" t="str">
        <f t="shared" si="71"/>
        <v>karperachtigen totaal</v>
      </c>
      <c r="BP110" s="178" t="str">
        <f t="shared" si="71"/>
        <v>schubvis &lt;15cm</v>
      </c>
      <c r="BQ110" s="178" t="str">
        <f t="shared" si="71"/>
        <v>schubvis &gt;15cm</v>
      </c>
      <c r="BR110" s="178" t="str">
        <f t="shared" si="71"/>
        <v>totaal schubvis</v>
      </c>
      <c r="EB110" s="4"/>
      <c r="EC110" s="4"/>
      <c r="ED110" s="4"/>
      <c r="EE110" s="4"/>
      <c r="EF110" s="4"/>
      <c r="EG110" s="4"/>
    </row>
    <row r="111" spans="1:140" s="169" customFormat="1">
      <c r="B111" s="366"/>
      <c r="C111" s="169" t="s">
        <v>45</v>
      </c>
      <c r="G111" s="169">
        <f>IF(ISNUMBER(AVERAGE(G5:G6,G86)),AVERAGE(G5:G6,G86),"")</f>
        <v>0</v>
      </c>
      <c r="H111" s="169">
        <f t="shared" ref="H111:R111" si="72">IF(ISNUMBER(AVERAGE(H5:H6,H86)),AVERAGE(H5:H6,H86),"")</f>
        <v>0.66666666666666663</v>
      </c>
      <c r="I111" s="169">
        <f t="shared" si="72"/>
        <v>0.66666666666666663</v>
      </c>
      <c r="J111" s="169">
        <f t="shared" si="72"/>
        <v>1.5</v>
      </c>
      <c r="K111" s="169">
        <f t="shared" si="72"/>
        <v>0</v>
      </c>
      <c r="L111" s="169">
        <f t="shared" si="72"/>
        <v>1</v>
      </c>
      <c r="M111" s="169">
        <f t="shared" si="72"/>
        <v>0.33333333333333331</v>
      </c>
      <c r="N111" s="169">
        <f t="shared" si="72"/>
        <v>1.6666666666666667</v>
      </c>
      <c r="O111" s="169">
        <f t="shared" si="72"/>
        <v>0.66666666666666663</v>
      </c>
      <c r="P111" s="169">
        <f t="shared" si="72"/>
        <v>0.66666666666666663</v>
      </c>
      <c r="Q111" s="169">
        <f t="shared" si="72"/>
        <v>1.3333333333333333</v>
      </c>
      <c r="R111" s="169">
        <f t="shared" si="72"/>
        <v>0.66666666666666663</v>
      </c>
      <c r="S111" s="332"/>
      <c r="T111" s="169">
        <f t="shared" ref="T111:AE111" si="73">STDEV(G5:G6,G86)</f>
        <v>0</v>
      </c>
      <c r="U111" s="169">
        <f t="shared" si="73"/>
        <v>0.57735026918962584</v>
      </c>
      <c r="V111" s="169">
        <f t="shared" si="73"/>
        <v>0.57735026918962584</v>
      </c>
      <c r="W111" s="169">
        <f t="shared" si="73"/>
        <v>0.70710678118654757</v>
      </c>
      <c r="X111" s="169">
        <f t="shared" si="73"/>
        <v>0</v>
      </c>
      <c r="Y111" s="169">
        <f t="shared" si="73"/>
        <v>1.4142135623730951</v>
      </c>
      <c r="Z111" s="169">
        <f t="shared" si="73"/>
        <v>0.57735026918962584</v>
      </c>
      <c r="AA111" s="169">
        <f t="shared" si="73"/>
        <v>2.8867513459481287</v>
      </c>
      <c r="AB111" s="169">
        <f t="shared" si="73"/>
        <v>1.1547005383792517</v>
      </c>
      <c r="AC111" s="169">
        <f t="shared" si="73"/>
        <v>0.57735026918962584</v>
      </c>
      <c r="AD111" s="169">
        <f t="shared" si="73"/>
        <v>2.3094010767585034</v>
      </c>
      <c r="AE111" s="169">
        <f t="shared" si="73"/>
        <v>0.57735026918962584</v>
      </c>
      <c r="AF111" s="4"/>
      <c r="AG111" s="169">
        <f t="shared" ref="AG111:AR111" si="74">COUNT(G5:G6,G86)</f>
        <v>2</v>
      </c>
      <c r="AH111" s="169">
        <f t="shared" si="74"/>
        <v>3</v>
      </c>
      <c r="AI111" s="169">
        <f t="shared" si="74"/>
        <v>3</v>
      </c>
      <c r="AJ111" s="169">
        <f t="shared" si="74"/>
        <v>2</v>
      </c>
      <c r="AK111" s="169">
        <f t="shared" si="74"/>
        <v>2</v>
      </c>
      <c r="AL111" s="169">
        <f t="shared" si="74"/>
        <v>2</v>
      </c>
      <c r="AM111" s="169">
        <f t="shared" si="74"/>
        <v>3</v>
      </c>
      <c r="AN111" s="169">
        <f t="shared" si="74"/>
        <v>3</v>
      </c>
      <c r="AO111" s="169">
        <f t="shared" si="74"/>
        <v>3</v>
      </c>
      <c r="AP111" s="169">
        <f t="shared" si="74"/>
        <v>3</v>
      </c>
      <c r="AQ111" s="169">
        <f t="shared" si="74"/>
        <v>3</v>
      </c>
      <c r="AR111" s="169">
        <f t="shared" si="74"/>
        <v>3</v>
      </c>
      <c r="AS111" s="4"/>
      <c r="AT111" s="169">
        <f t="shared" ref="AT111:BE111" si="75">MIN(G5:G6,G86)</f>
        <v>0</v>
      </c>
      <c r="AU111" s="169">
        <f t="shared" si="75"/>
        <v>0</v>
      </c>
      <c r="AV111" s="169">
        <f t="shared" si="75"/>
        <v>0</v>
      </c>
      <c r="AW111" s="169">
        <f t="shared" si="75"/>
        <v>1</v>
      </c>
      <c r="AX111" s="169">
        <f t="shared" si="75"/>
        <v>0</v>
      </c>
      <c r="AY111" s="169">
        <f t="shared" si="75"/>
        <v>0</v>
      </c>
      <c r="AZ111" s="169">
        <f t="shared" si="75"/>
        <v>0</v>
      </c>
      <c r="BA111" s="169">
        <f t="shared" si="75"/>
        <v>0</v>
      </c>
      <c r="BB111" s="169">
        <f t="shared" si="75"/>
        <v>0</v>
      </c>
      <c r="BC111" s="169">
        <f t="shared" si="75"/>
        <v>0</v>
      </c>
      <c r="BD111" s="169">
        <f t="shared" si="75"/>
        <v>0</v>
      </c>
      <c r="BE111" s="169">
        <f t="shared" si="75"/>
        <v>0</v>
      </c>
      <c r="BG111" s="169">
        <f>MAX(G5:G6,G86)</f>
        <v>0</v>
      </c>
      <c r="BH111" s="169">
        <f t="shared" ref="BH111:BR111" si="76">MAX(H5:H6)</f>
        <v>1</v>
      </c>
      <c r="BI111" s="169">
        <f t="shared" si="76"/>
        <v>1</v>
      </c>
      <c r="BJ111" s="169">
        <f t="shared" si="76"/>
        <v>2</v>
      </c>
      <c r="BK111" s="169">
        <f t="shared" si="76"/>
        <v>0</v>
      </c>
      <c r="BL111" s="169">
        <f t="shared" si="76"/>
        <v>2</v>
      </c>
      <c r="BM111" s="169">
        <f t="shared" si="76"/>
        <v>0</v>
      </c>
      <c r="BN111" s="169">
        <f t="shared" si="76"/>
        <v>0</v>
      </c>
      <c r="BO111" s="169">
        <f t="shared" si="76"/>
        <v>0</v>
      </c>
      <c r="BP111" s="169">
        <f t="shared" si="76"/>
        <v>1</v>
      </c>
      <c r="BQ111" s="169">
        <f t="shared" si="76"/>
        <v>0</v>
      </c>
      <c r="BR111" s="169">
        <f t="shared" si="76"/>
        <v>1</v>
      </c>
      <c r="BS111" s="4"/>
      <c r="BT111" s="4"/>
      <c r="BU111" s="4"/>
      <c r="BV111" s="4"/>
      <c r="BW111" s="4"/>
      <c r="BX111" s="4"/>
      <c r="BY111" s="4"/>
      <c r="BZ111" s="4"/>
      <c r="CA111" s="4"/>
      <c r="CB111" s="4"/>
      <c r="CC111" s="4"/>
      <c r="CD111" s="4"/>
      <c r="CE111" s="4"/>
      <c r="CF111" s="4"/>
      <c r="CG111" s="4"/>
      <c r="CH111" s="4"/>
      <c r="CI111" s="4"/>
      <c r="CJ111" s="4"/>
      <c r="CK111" s="4"/>
      <c r="CL111" s="4"/>
      <c r="CM111" s="4"/>
      <c r="CN111" s="4"/>
      <c r="CO111" s="4"/>
      <c r="CP111" s="4"/>
      <c r="CQ111" s="4"/>
      <c r="CR111" s="4"/>
      <c r="CS111" s="4"/>
      <c r="CT111" s="4"/>
      <c r="CU111" s="4"/>
      <c r="CV111" s="4"/>
      <c r="CW111" s="4"/>
      <c r="CX111" s="4"/>
      <c r="CY111" s="4"/>
      <c r="CZ111" s="4"/>
      <c r="DA111" s="4"/>
      <c r="DB111" s="4"/>
      <c r="DC111" s="4"/>
      <c r="DD111" s="4"/>
      <c r="DE111" s="4"/>
      <c r="DF111" s="4"/>
      <c r="DG111" s="4"/>
      <c r="DH111" s="4"/>
      <c r="DI111" s="4"/>
      <c r="DJ111" s="4"/>
      <c r="DK111" s="4"/>
      <c r="DL111" s="4"/>
      <c r="DM111" s="4"/>
      <c r="DN111" s="4"/>
      <c r="DO111" s="4"/>
      <c r="DP111" s="4"/>
      <c r="DQ111" s="4"/>
      <c r="DR111" s="4"/>
      <c r="DS111" s="4"/>
      <c r="DT111" s="4"/>
      <c r="DU111" s="4"/>
      <c r="DV111" s="4"/>
      <c r="DW111" s="4"/>
      <c r="DX111" s="4"/>
      <c r="DY111" s="4"/>
      <c r="DZ111" s="4"/>
      <c r="EA111" s="4"/>
      <c r="EB111" s="4"/>
      <c r="EC111" s="4"/>
      <c r="ED111" s="4"/>
      <c r="EE111" s="4"/>
      <c r="EF111" s="4"/>
      <c r="EG111" s="4"/>
      <c r="EH111" s="4"/>
      <c r="EI111" s="4"/>
      <c r="EJ111" s="4"/>
    </row>
    <row r="112" spans="1:140">
      <c r="B112" s="367"/>
      <c r="C112" t="s">
        <v>224</v>
      </c>
      <c r="D112" s="169"/>
      <c r="G112">
        <f>IF(ISNUMBER(AVERAGE(G11,G17:G18)),AVERAGE(G11,G17:G18),"")</f>
        <v>0</v>
      </c>
      <c r="H112">
        <f t="shared" ref="H112:R112" si="77">IF(ISNUMBER(AVERAGE(H11,H17:H18)),AVERAGE(H11,H17:H18),"")</f>
        <v>0.33333333333333331</v>
      </c>
      <c r="I112">
        <f t="shared" si="77"/>
        <v>0.33333333333333331</v>
      </c>
      <c r="J112">
        <f t="shared" si="77"/>
        <v>0</v>
      </c>
      <c r="K112">
        <f t="shared" si="77"/>
        <v>0</v>
      </c>
      <c r="L112">
        <f t="shared" si="77"/>
        <v>7</v>
      </c>
      <c r="M112">
        <f t="shared" si="77"/>
        <v>0</v>
      </c>
      <c r="N112">
        <f t="shared" si="77"/>
        <v>2</v>
      </c>
      <c r="O112">
        <f t="shared" si="77"/>
        <v>0</v>
      </c>
      <c r="P112">
        <f t="shared" si="77"/>
        <v>0</v>
      </c>
      <c r="Q112">
        <f t="shared" si="77"/>
        <v>2</v>
      </c>
      <c r="R112">
        <f t="shared" si="77"/>
        <v>0.33333333333333331</v>
      </c>
      <c r="T112" t="e">
        <f>STDEV(G11,G17:G18)</f>
        <v>#DIV/0!</v>
      </c>
      <c r="U112">
        <f t="shared" ref="U112:AE112" si="78">STDEV(H11,H17:H18)</f>
        <v>0.57735026918962584</v>
      </c>
      <c r="V112">
        <f t="shared" si="78"/>
        <v>0.57735026918962584</v>
      </c>
      <c r="W112" t="e">
        <f t="shared" si="78"/>
        <v>#DIV/0!</v>
      </c>
      <c r="X112" t="e">
        <f t="shared" si="78"/>
        <v>#DIV/0!</v>
      </c>
      <c r="Y112">
        <f t="shared" si="78"/>
        <v>9.8994949366116654</v>
      </c>
      <c r="Z112" t="e">
        <f t="shared" si="78"/>
        <v>#DIV/0!</v>
      </c>
      <c r="AA112" t="e">
        <f t="shared" si="78"/>
        <v>#DIV/0!</v>
      </c>
      <c r="AB112">
        <f t="shared" si="78"/>
        <v>0</v>
      </c>
      <c r="AC112" t="e">
        <f t="shared" si="78"/>
        <v>#DIV/0!</v>
      </c>
      <c r="AD112" t="e">
        <f t="shared" si="78"/>
        <v>#DIV/0!</v>
      </c>
      <c r="AE112">
        <f t="shared" si="78"/>
        <v>0.57735026918962584</v>
      </c>
      <c r="AG112">
        <f>COUNT(G11,G17:G18)</f>
        <v>1</v>
      </c>
      <c r="AH112">
        <f t="shared" ref="AH112:AR112" si="79">COUNT(H11,H17:H18)</f>
        <v>3</v>
      </c>
      <c r="AI112">
        <f t="shared" si="79"/>
        <v>3</v>
      </c>
      <c r="AJ112">
        <f t="shared" si="79"/>
        <v>1</v>
      </c>
      <c r="AK112">
        <f t="shared" si="79"/>
        <v>1</v>
      </c>
      <c r="AL112">
        <f t="shared" si="79"/>
        <v>2</v>
      </c>
      <c r="AM112">
        <f t="shared" si="79"/>
        <v>1</v>
      </c>
      <c r="AN112">
        <f t="shared" si="79"/>
        <v>1</v>
      </c>
      <c r="AO112">
        <f t="shared" si="79"/>
        <v>3</v>
      </c>
      <c r="AP112">
        <f t="shared" si="79"/>
        <v>1</v>
      </c>
      <c r="AQ112">
        <f t="shared" si="79"/>
        <v>1</v>
      </c>
      <c r="AR112">
        <f t="shared" si="79"/>
        <v>3</v>
      </c>
      <c r="AT112" s="169">
        <f t="shared" ref="AT112:BE112" si="80">MIN(G11,G16:G17)</f>
        <v>0</v>
      </c>
      <c r="AU112" s="169">
        <f t="shared" si="80"/>
        <v>0</v>
      </c>
      <c r="AV112" s="169">
        <f t="shared" si="80"/>
        <v>0</v>
      </c>
      <c r="AW112" s="169">
        <f t="shared" si="80"/>
        <v>0</v>
      </c>
      <c r="AX112" s="169">
        <f t="shared" si="80"/>
        <v>0</v>
      </c>
      <c r="AY112" s="169">
        <f t="shared" si="80"/>
        <v>0</v>
      </c>
      <c r="AZ112" s="169">
        <f t="shared" si="80"/>
        <v>0</v>
      </c>
      <c r="BA112" s="169">
        <f t="shared" si="80"/>
        <v>1</v>
      </c>
      <c r="BB112" s="169">
        <f t="shared" si="80"/>
        <v>0</v>
      </c>
      <c r="BC112" s="169">
        <f t="shared" si="80"/>
        <v>0</v>
      </c>
      <c r="BD112" s="169">
        <f t="shared" si="80"/>
        <v>1</v>
      </c>
      <c r="BE112" s="169">
        <f t="shared" si="80"/>
        <v>0</v>
      </c>
      <c r="BF112" s="169"/>
      <c r="BG112" s="169">
        <f t="shared" ref="BG112:BR112" si="81">MAX(G11,G16:G17)</f>
        <v>2</v>
      </c>
      <c r="BH112" s="169">
        <f t="shared" si="81"/>
        <v>1</v>
      </c>
      <c r="BI112" s="169">
        <f t="shared" si="81"/>
        <v>1</v>
      </c>
      <c r="BJ112" s="169">
        <f t="shared" si="81"/>
        <v>0</v>
      </c>
      <c r="BK112" s="169">
        <f t="shared" si="81"/>
        <v>0</v>
      </c>
      <c r="BL112">
        <f t="shared" si="81"/>
        <v>14</v>
      </c>
      <c r="BM112">
        <f t="shared" si="81"/>
        <v>0</v>
      </c>
      <c r="BN112">
        <f t="shared" si="81"/>
        <v>2</v>
      </c>
      <c r="BO112">
        <f t="shared" si="81"/>
        <v>0</v>
      </c>
      <c r="BP112">
        <f t="shared" si="81"/>
        <v>0</v>
      </c>
      <c r="BQ112">
        <f t="shared" si="81"/>
        <v>2</v>
      </c>
      <c r="BR112">
        <f t="shared" si="81"/>
        <v>1</v>
      </c>
      <c r="EB112" s="4"/>
      <c r="EC112" s="4"/>
      <c r="ED112" s="4"/>
      <c r="EE112" s="4"/>
      <c r="EF112" s="4"/>
      <c r="EG112" s="4"/>
      <c r="EH112" s="4"/>
      <c r="EI112" s="4"/>
      <c r="EJ112" s="4"/>
    </row>
    <row r="113" spans="2:140">
      <c r="B113" s="367"/>
      <c r="C113" t="s">
        <v>44</v>
      </c>
      <c r="D113" s="169"/>
      <c r="G113">
        <f>IF(ISNUMBER(AVERAGE(G7:G10,G12:G15,G19:G20,G91:G92,G95:G96,G100,G103)),AVERAGE(G7:G10,G12:G15,G19:G20,G91:G92,G95:G96,G100,G103),"")</f>
        <v>2</v>
      </c>
      <c r="H113">
        <f t="shared" ref="H113:R113" si="82">IF(ISNUMBER(AVERAGE(H7:H10,H12:H15,H19:H20,H91:H92,H95:H96,H100,H103)),AVERAGE(H7:H10,H12:H15,H19:H20,H91:H92,H95:H96,H100,H103),"")</f>
        <v>8</v>
      </c>
      <c r="I113">
        <f t="shared" si="82"/>
        <v>5.7692307692307692</v>
      </c>
      <c r="J113">
        <f t="shared" si="82"/>
        <v>12.2</v>
      </c>
      <c r="K113">
        <f t="shared" si="82"/>
        <v>0</v>
      </c>
      <c r="L113">
        <f t="shared" si="82"/>
        <v>10.166666666666666</v>
      </c>
      <c r="M113">
        <f t="shared" si="82"/>
        <v>11</v>
      </c>
      <c r="N113">
        <f t="shared" si="82"/>
        <v>4.333333333333333</v>
      </c>
      <c r="O113">
        <f t="shared" si="82"/>
        <v>8</v>
      </c>
      <c r="P113">
        <f t="shared" si="82"/>
        <v>0.33333333333333331</v>
      </c>
      <c r="Q113">
        <f t="shared" si="82"/>
        <v>2.3333333333333335</v>
      </c>
      <c r="R113">
        <f t="shared" si="82"/>
        <v>5.666666666666667</v>
      </c>
      <c r="T113">
        <f>STDEV(G7:G10,G12:G15,G19:G20,G91:G92,G95:G96,G100,G103)</f>
        <v>3.3466401061363023</v>
      </c>
      <c r="U113">
        <f t="shared" ref="U113:AE113" si="83">STDEV(H7:H10,H12:H15,H19:H20,H91:H92,H95:H96,H100,H103)</f>
        <v>13.873050798636125</v>
      </c>
      <c r="V113">
        <f t="shared" si="83"/>
        <v>10.075993302183216</v>
      </c>
      <c r="W113">
        <f t="shared" si="83"/>
        <v>17.15225932639779</v>
      </c>
      <c r="X113">
        <f t="shared" si="83"/>
        <v>0</v>
      </c>
      <c r="Y113">
        <f t="shared" si="83"/>
        <v>16.129682782580279</v>
      </c>
      <c r="Z113">
        <f t="shared" si="83"/>
        <v>14.212670403551895</v>
      </c>
      <c r="AA113">
        <f t="shared" si="83"/>
        <v>7.5055534994651349</v>
      </c>
      <c r="AB113">
        <f t="shared" si="83"/>
        <v>12.68857754044952</v>
      </c>
      <c r="AC113">
        <f t="shared" si="83"/>
        <v>0.57735026918962584</v>
      </c>
      <c r="AD113">
        <f t="shared" si="83"/>
        <v>4.0414518843273806</v>
      </c>
      <c r="AE113">
        <f t="shared" si="83"/>
        <v>12.909944487358057</v>
      </c>
      <c r="AG113">
        <f>COUNT(G7:G10,G12:G15,G19:G20,G91:G92,G95:G96,G100,G103)</f>
        <v>6</v>
      </c>
      <c r="AH113">
        <f t="shared" ref="AH113:AR113" si="84">COUNT(H7:H10,H12:H15,H19:H20,H91:H92,H95:H96,H100,H103)</f>
        <v>14</v>
      </c>
      <c r="AI113">
        <f t="shared" si="84"/>
        <v>13</v>
      </c>
      <c r="AJ113">
        <f t="shared" si="84"/>
        <v>5</v>
      </c>
      <c r="AK113">
        <f t="shared" si="84"/>
        <v>3</v>
      </c>
      <c r="AL113">
        <f t="shared" si="84"/>
        <v>6</v>
      </c>
      <c r="AM113">
        <f t="shared" si="84"/>
        <v>5</v>
      </c>
      <c r="AN113">
        <f t="shared" si="84"/>
        <v>3</v>
      </c>
      <c r="AO113">
        <f t="shared" si="84"/>
        <v>7</v>
      </c>
      <c r="AP113">
        <f t="shared" si="84"/>
        <v>3</v>
      </c>
      <c r="AQ113">
        <f t="shared" si="84"/>
        <v>3</v>
      </c>
      <c r="AR113">
        <f t="shared" si="84"/>
        <v>6</v>
      </c>
      <c r="AT113" s="169">
        <f t="shared" ref="AT113:BE113" si="85">MIN(G7:G10,G12:G16,G19:G20)</f>
        <v>0</v>
      </c>
      <c r="AU113" s="169">
        <f t="shared" si="85"/>
        <v>0</v>
      </c>
      <c r="AV113" s="169">
        <f t="shared" si="85"/>
        <v>0</v>
      </c>
      <c r="AW113" s="169">
        <f t="shared" si="85"/>
        <v>0</v>
      </c>
      <c r="AX113" s="169">
        <f t="shared" si="85"/>
        <v>0</v>
      </c>
      <c r="AY113" s="169">
        <f t="shared" si="85"/>
        <v>0</v>
      </c>
      <c r="AZ113" s="169">
        <f t="shared" si="85"/>
        <v>0</v>
      </c>
      <c r="BA113" s="169">
        <f t="shared" si="85"/>
        <v>0</v>
      </c>
      <c r="BB113" s="169">
        <f t="shared" si="85"/>
        <v>0</v>
      </c>
      <c r="BC113" s="169">
        <f t="shared" si="85"/>
        <v>0</v>
      </c>
      <c r="BD113" s="169">
        <f t="shared" si="85"/>
        <v>0</v>
      </c>
      <c r="BE113" s="169">
        <f t="shared" si="85"/>
        <v>0</v>
      </c>
      <c r="BF113" s="169"/>
      <c r="BG113" s="169">
        <f t="shared" ref="BG113:BR113" si="86">MAX(G7:G10,G12:G16,G19:G20)</f>
        <v>4</v>
      </c>
      <c r="BH113" s="169">
        <f t="shared" si="86"/>
        <v>44</v>
      </c>
      <c r="BI113" s="169">
        <f t="shared" si="86"/>
        <v>4</v>
      </c>
      <c r="BJ113" s="169">
        <f t="shared" si="86"/>
        <v>0</v>
      </c>
      <c r="BK113" s="169">
        <f t="shared" si="86"/>
        <v>0</v>
      </c>
      <c r="BL113">
        <f t="shared" si="86"/>
        <v>0</v>
      </c>
      <c r="BM113">
        <f t="shared" si="86"/>
        <v>2</v>
      </c>
      <c r="BN113">
        <f t="shared" si="86"/>
        <v>13</v>
      </c>
      <c r="BO113">
        <f t="shared" si="86"/>
        <v>2</v>
      </c>
      <c r="BP113">
        <f t="shared" si="86"/>
        <v>1</v>
      </c>
      <c r="BQ113">
        <f t="shared" si="86"/>
        <v>7</v>
      </c>
      <c r="BR113">
        <f t="shared" si="86"/>
        <v>1</v>
      </c>
      <c r="EB113" s="4"/>
      <c r="EC113" s="4"/>
      <c r="ED113" s="4"/>
      <c r="EE113" s="4"/>
      <c r="EF113" s="4"/>
      <c r="EG113" s="4"/>
      <c r="EH113" s="4"/>
      <c r="EI113" s="4"/>
      <c r="EJ113" s="4"/>
    </row>
    <row r="114" spans="2:140">
      <c r="B114" s="367"/>
      <c r="C114" t="s">
        <v>406</v>
      </c>
      <c r="D114" s="169"/>
      <c r="G114">
        <f>IF(ISNUMBER(AVERAGE(G83,G16)),AVERAGE(G16,G83),"")</f>
        <v>2</v>
      </c>
      <c r="H114">
        <f t="shared" ref="H114:R114" si="87">IF(ISNUMBER(AVERAGE(H83,H16)),AVERAGE(H16,H83),"")</f>
        <v>0</v>
      </c>
      <c r="I114">
        <f t="shared" si="87"/>
        <v>0</v>
      </c>
      <c r="J114">
        <f t="shared" si="87"/>
        <v>0.5</v>
      </c>
      <c r="K114">
        <f t="shared" si="87"/>
        <v>0</v>
      </c>
      <c r="L114">
        <f t="shared" si="87"/>
        <v>0.5</v>
      </c>
      <c r="M114">
        <f t="shared" si="87"/>
        <v>0</v>
      </c>
      <c r="N114">
        <f t="shared" si="87"/>
        <v>0.5</v>
      </c>
      <c r="O114">
        <f t="shared" si="87"/>
        <v>0</v>
      </c>
      <c r="P114">
        <f t="shared" si="87"/>
        <v>0</v>
      </c>
      <c r="Q114">
        <f t="shared" si="87"/>
        <v>0.5</v>
      </c>
      <c r="R114">
        <f t="shared" si="87"/>
        <v>0</v>
      </c>
      <c r="T114" t="e">
        <f>STDEV(G16,G83)</f>
        <v>#DIV/0!</v>
      </c>
      <c r="U114">
        <f t="shared" ref="U114:AE114" si="88">STDEV(H16,H83)</f>
        <v>0</v>
      </c>
      <c r="V114">
        <f t="shared" si="88"/>
        <v>0</v>
      </c>
      <c r="W114">
        <f t="shared" si="88"/>
        <v>0.70710678118654757</v>
      </c>
      <c r="X114" t="e">
        <f t="shared" si="88"/>
        <v>#DIV/0!</v>
      </c>
      <c r="Y114">
        <f t="shared" si="88"/>
        <v>0.70710678118654757</v>
      </c>
      <c r="Z114">
        <f t="shared" si="88"/>
        <v>0</v>
      </c>
      <c r="AA114">
        <f t="shared" si="88"/>
        <v>0.70710678118654757</v>
      </c>
      <c r="AB114">
        <f t="shared" si="88"/>
        <v>0</v>
      </c>
      <c r="AC114">
        <f t="shared" si="88"/>
        <v>0</v>
      </c>
      <c r="AD114">
        <f t="shared" si="88"/>
        <v>0.70710678118654757</v>
      </c>
      <c r="AE114">
        <f t="shared" si="88"/>
        <v>0</v>
      </c>
      <c r="AG114">
        <f>COUNT(G16,G83)</f>
        <v>1</v>
      </c>
      <c r="AH114">
        <f t="shared" ref="AH114:AR114" si="89">COUNT(H16,H83)</f>
        <v>2</v>
      </c>
      <c r="AI114">
        <f t="shared" si="89"/>
        <v>2</v>
      </c>
      <c r="AJ114">
        <f t="shared" si="89"/>
        <v>2</v>
      </c>
      <c r="AK114">
        <f t="shared" si="89"/>
        <v>1</v>
      </c>
      <c r="AL114">
        <f t="shared" si="89"/>
        <v>2</v>
      </c>
      <c r="AM114">
        <f t="shared" si="89"/>
        <v>2</v>
      </c>
      <c r="AN114">
        <f t="shared" si="89"/>
        <v>2</v>
      </c>
      <c r="AO114">
        <f t="shared" si="89"/>
        <v>2</v>
      </c>
      <c r="AP114">
        <f t="shared" si="89"/>
        <v>2</v>
      </c>
      <c r="AQ114">
        <f t="shared" si="89"/>
        <v>2</v>
      </c>
      <c r="AR114">
        <f t="shared" si="89"/>
        <v>2</v>
      </c>
      <c r="AT114" s="169"/>
      <c r="AU114" s="169"/>
      <c r="AV114" s="169"/>
      <c r="AW114" s="169"/>
      <c r="AX114" s="169"/>
      <c r="AY114" s="169"/>
      <c r="AZ114" s="169"/>
      <c r="BA114" s="169"/>
      <c r="BB114" s="169"/>
      <c r="BC114" s="169"/>
      <c r="BD114" s="169"/>
      <c r="BE114" s="169"/>
      <c r="BF114" s="169"/>
      <c r="BG114" s="169"/>
      <c r="BH114" s="169"/>
      <c r="BI114" s="169"/>
      <c r="BJ114" s="169"/>
      <c r="BK114" s="169"/>
      <c r="BL114"/>
      <c r="BM114"/>
      <c r="BN114"/>
      <c r="BO114"/>
      <c r="BP114"/>
      <c r="BQ114"/>
      <c r="BR114"/>
      <c r="EB114" s="4"/>
      <c r="EC114" s="4"/>
      <c r="ED114" s="4"/>
      <c r="EE114" s="4"/>
      <c r="EF114" s="4"/>
      <c r="EG114" s="4"/>
      <c r="EH114" s="4"/>
      <c r="EI114" s="4"/>
      <c r="EJ114" s="4"/>
    </row>
    <row r="115" spans="2:140">
      <c r="B115" s="367"/>
      <c r="C115" t="s">
        <v>407</v>
      </c>
      <c r="D115" s="169"/>
      <c r="G115">
        <f>IF(ISNUMBER(AVERAGE(G93:G94)),AVERAGE(G93:G94),"")</f>
        <v>5.5</v>
      </c>
      <c r="H115">
        <f t="shared" ref="H115:R115" si="90">IF(ISNUMBER(AVERAGE(H93:H94)),AVERAGE(H93:H94),"")</f>
        <v>0</v>
      </c>
      <c r="I115">
        <f t="shared" si="90"/>
        <v>1.5</v>
      </c>
      <c r="J115">
        <f t="shared" si="90"/>
        <v>0.5</v>
      </c>
      <c r="K115" t="str">
        <f t="shared" si="90"/>
        <v/>
      </c>
      <c r="L115">
        <f t="shared" si="90"/>
        <v>0.5</v>
      </c>
      <c r="M115">
        <f t="shared" si="90"/>
        <v>0</v>
      </c>
      <c r="N115">
        <f t="shared" si="90"/>
        <v>0</v>
      </c>
      <c r="O115">
        <f t="shared" si="90"/>
        <v>0</v>
      </c>
      <c r="P115" t="str">
        <f t="shared" si="90"/>
        <v/>
      </c>
      <c r="Q115" t="str">
        <f t="shared" si="90"/>
        <v/>
      </c>
      <c r="R115">
        <f t="shared" si="90"/>
        <v>0</v>
      </c>
      <c r="T115">
        <f>STDEV(G93:G94)</f>
        <v>3.5355339059327378</v>
      </c>
      <c r="U115">
        <f t="shared" ref="U115:AE115" si="91">STDEV(H93:H94)</f>
        <v>0</v>
      </c>
      <c r="V115">
        <f t="shared" si="91"/>
        <v>0.70710678118654757</v>
      </c>
      <c r="W115">
        <f t="shared" si="91"/>
        <v>0.70710678118654757</v>
      </c>
      <c r="X115" t="e">
        <f t="shared" si="91"/>
        <v>#DIV/0!</v>
      </c>
      <c r="Y115">
        <f t="shared" si="91"/>
        <v>0.70710678118654757</v>
      </c>
      <c r="Z115">
        <f t="shared" si="91"/>
        <v>0</v>
      </c>
      <c r="AA115">
        <f t="shared" si="91"/>
        <v>0</v>
      </c>
      <c r="AB115">
        <f t="shared" si="91"/>
        <v>0</v>
      </c>
      <c r="AC115" t="e">
        <f t="shared" si="91"/>
        <v>#DIV/0!</v>
      </c>
      <c r="AD115" t="e">
        <f t="shared" si="91"/>
        <v>#DIV/0!</v>
      </c>
      <c r="AE115">
        <f t="shared" si="91"/>
        <v>0</v>
      </c>
      <c r="AG115">
        <f>COUNT(G93:G94)</f>
        <v>2</v>
      </c>
      <c r="AH115">
        <f t="shared" ref="AH115:AR115" si="92">COUNT(H93:H94)</f>
        <v>2</v>
      </c>
      <c r="AI115">
        <f t="shared" si="92"/>
        <v>2</v>
      </c>
      <c r="AJ115">
        <f t="shared" si="92"/>
        <v>2</v>
      </c>
      <c r="AK115">
        <f t="shared" si="92"/>
        <v>0</v>
      </c>
      <c r="AL115">
        <f t="shared" si="92"/>
        <v>2</v>
      </c>
      <c r="AM115">
        <f t="shared" si="92"/>
        <v>2</v>
      </c>
      <c r="AN115">
        <f t="shared" si="92"/>
        <v>2</v>
      </c>
      <c r="AO115">
        <f t="shared" si="92"/>
        <v>2</v>
      </c>
      <c r="AP115">
        <f t="shared" si="92"/>
        <v>0</v>
      </c>
      <c r="AQ115">
        <f t="shared" si="92"/>
        <v>0</v>
      </c>
      <c r="AR115">
        <f t="shared" si="92"/>
        <v>2</v>
      </c>
      <c r="AT115" s="169"/>
      <c r="AU115" s="169"/>
      <c r="AV115" s="169"/>
      <c r="AW115" s="169"/>
      <c r="AX115" s="169"/>
      <c r="AY115" s="169"/>
      <c r="AZ115" s="169"/>
      <c r="BA115" s="169"/>
      <c r="BB115" s="169"/>
      <c r="BC115" s="169"/>
      <c r="BD115" s="169"/>
      <c r="BE115" s="169"/>
      <c r="BF115" s="169"/>
      <c r="BG115" s="169"/>
      <c r="BH115" s="169"/>
      <c r="BI115" s="169"/>
      <c r="BJ115" s="169"/>
      <c r="BK115" s="169"/>
      <c r="BL115"/>
      <c r="BM115"/>
      <c r="BN115"/>
      <c r="BO115"/>
      <c r="BP115"/>
      <c r="BQ115"/>
      <c r="BR115"/>
      <c r="EB115" s="4"/>
      <c r="EC115" s="4"/>
      <c r="ED115" s="4"/>
      <c r="EE115" s="4"/>
      <c r="EF115" s="4"/>
      <c r="EG115" s="4"/>
      <c r="EH115" s="4"/>
      <c r="EI115" s="4"/>
      <c r="EJ115" s="4"/>
    </row>
    <row r="116" spans="2:140">
      <c r="B116" s="367"/>
      <c r="C116" t="s">
        <v>99</v>
      </c>
      <c r="D116" s="169"/>
      <c r="G116" t="str">
        <f>IF(ISNUMBER(AVERAGE(G21:G23)),AVERAGE(G21:G23),"")</f>
        <v/>
      </c>
      <c r="H116">
        <f t="shared" ref="H116:R116" si="93">IF(ISNUMBER(AVERAGE(H21:H23)),AVERAGE(H21:H23),"")</f>
        <v>1.3333333333333333</v>
      </c>
      <c r="I116">
        <f t="shared" si="93"/>
        <v>0</v>
      </c>
      <c r="J116" t="str">
        <f t="shared" si="93"/>
        <v/>
      </c>
      <c r="K116" t="str">
        <f t="shared" si="93"/>
        <v/>
      </c>
      <c r="L116" t="str">
        <f t="shared" si="93"/>
        <v/>
      </c>
      <c r="M116" t="str">
        <f t="shared" si="93"/>
        <v/>
      </c>
      <c r="N116" t="str">
        <f t="shared" si="93"/>
        <v/>
      </c>
      <c r="O116">
        <f t="shared" si="93"/>
        <v>0</v>
      </c>
      <c r="P116" t="str">
        <f t="shared" si="93"/>
        <v/>
      </c>
      <c r="Q116" t="str">
        <f t="shared" si="93"/>
        <v/>
      </c>
      <c r="R116">
        <f t="shared" si="93"/>
        <v>0</v>
      </c>
      <c r="T116" t="e">
        <f t="shared" ref="T116:AE116" si="94">STDEV(G21:G23)</f>
        <v>#DIV/0!</v>
      </c>
      <c r="U116">
        <f t="shared" si="94"/>
        <v>2.3094010767585034</v>
      </c>
      <c r="V116">
        <f t="shared" si="94"/>
        <v>0</v>
      </c>
      <c r="W116" t="e">
        <f t="shared" si="94"/>
        <v>#DIV/0!</v>
      </c>
      <c r="X116" t="e">
        <f t="shared" si="94"/>
        <v>#DIV/0!</v>
      </c>
      <c r="Y116" t="e">
        <f t="shared" si="94"/>
        <v>#DIV/0!</v>
      </c>
      <c r="Z116" t="e">
        <f t="shared" si="94"/>
        <v>#DIV/0!</v>
      </c>
      <c r="AA116" t="e">
        <f t="shared" si="94"/>
        <v>#DIV/0!</v>
      </c>
      <c r="AB116" t="e">
        <f t="shared" si="94"/>
        <v>#DIV/0!</v>
      </c>
      <c r="AC116" t="e">
        <f t="shared" si="94"/>
        <v>#DIV/0!</v>
      </c>
      <c r="AD116" t="e">
        <f t="shared" si="94"/>
        <v>#DIV/0!</v>
      </c>
      <c r="AE116" t="e">
        <f t="shared" si="94"/>
        <v>#DIV/0!</v>
      </c>
      <c r="AG116">
        <f t="shared" ref="AG116:AR116" si="95">COUNT(G21:G23)</f>
        <v>0</v>
      </c>
      <c r="AH116">
        <f t="shared" si="95"/>
        <v>3</v>
      </c>
      <c r="AI116">
        <f t="shared" si="95"/>
        <v>2</v>
      </c>
      <c r="AJ116">
        <f t="shared" si="95"/>
        <v>0</v>
      </c>
      <c r="AK116">
        <f t="shared" si="95"/>
        <v>0</v>
      </c>
      <c r="AL116">
        <f t="shared" si="95"/>
        <v>0</v>
      </c>
      <c r="AM116">
        <f t="shared" si="95"/>
        <v>0</v>
      </c>
      <c r="AN116">
        <f t="shared" si="95"/>
        <v>0</v>
      </c>
      <c r="AO116">
        <f t="shared" si="95"/>
        <v>1</v>
      </c>
      <c r="AP116">
        <f t="shared" si="95"/>
        <v>0</v>
      </c>
      <c r="AQ116">
        <f t="shared" si="95"/>
        <v>0</v>
      </c>
      <c r="AR116">
        <f t="shared" si="95"/>
        <v>1</v>
      </c>
      <c r="AT116" s="169">
        <f t="shared" ref="AT116:BE116" si="96">MIN(G21:G23)</f>
        <v>0</v>
      </c>
      <c r="AU116" s="169">
        <f t="shared" si="96"/>
        <v>0</v>
      </c>
      <c r="AV116" s="169">
        <f t="shared" si="96"/>
        <v>0</v>
      </c>
      <c r="AW116" s="169">
        <f t="shared" si="96"/>
        <v>0</v>
      </c>
      <c r="AX116" s="169">
        <f t="shared" si="96"/>
        <v>0</v>
      </c>
      <c r="AY116" s="169">
        <f t="shared" si="96"/>
        <v>0</v>
      </c>
      <c r="AZ116" s="169">
        <f t="shared" si="96"/>
        <v>0</v>
      </c>
      <c r="BA116" s="169">
        <f t="shared" si="96"/>
        <v>0</v>
      </c>
      <c r="BB116" s="169">
        <f t="shared" si="96"/>
        <v>0</v>
      </c>
      <c r="BC116" s="169">
        <f t="shared" si="96"/>
        <v>0</v>
      </c>
      <c r="BD116" s="169">
        <f t="shared" si="96"/>
        <v>0</v>
      </c>
      <c r="BE116" s="169">
        <f t="shared" si="96"/>
        <v>0</v>
      </c>
      <c r="BF116" s="169"/>
      <c r="BG116" s="169">
        <f t="shared" ref="BG116:BR116" si="97">MAX(G21:G23)</f>
        <v>0</v>
      </c>
      <c r="BH116" s="169">
        <f t="shared" si="97"/>
        <v>4</v>
      </c>
      <c r="BI116" s="169">
        <f t="shared" si="97"/>
        <v>0</v>
      </c>
      <c r="BJ116" s="169">
        <f t="shared" si="97"/>
        <v>0</v>
      </c>
      <c r="BK116" s="169">
        <f t="shared" si="97"/>
        <v>0</v>
      </c>
      <c r="BL116">
        <f t="shared" si="97"/>
        <v>0</v>
      </c>
      <c r="BM116">
        <f t="shared" si="97"/>
        <v>0</v>
      </c>
      <c r="BN116">
        <f t="shared" si="97"/>
        <v>0</v>
      </c>
      <c r="BO116">
        <f t="shared" si="97"/>
        <v>0</v>
      </c>
      <c r="BP116">
        <f t="shared" si="97"/>
        <v>0</v>
      </c>
      <c r="BQ116">
        <f t="shared" si="97"/>
        <v>0</v>
      </c>
      <c r="BR116">
        <f t="shared" si="97"/>
        <v>0</v>
      </c>
      <c r="EB116" s="4"/>
      <c r="EC116" s="4"/>
      <c r="ED116" s="4"/>
      <c r="EE116" s="4"/>
      <c r="EF116" s="4"/>
      <c r="EG116" s="4"/>
      <c r="EH116" s="4"/>
      <c r="EI116" s="4"/>
      <c r="EJ116" s="4"/>
    </row>
    <row r="117" spans="2:140">
      <c r="B117" s="367"/>
      <c r="C117" t="s">
        <v>108</v>
      </c>
      <c r="D117" s="169"/>
      <c r="G117">
        <f>IF(ISNUMBER(AVERAGE(G24:G33,G106,G97)),AVERAGE(G24:G33,G97,G106),"")</f>
        <v>8.1666666666666661</v>
      </c>
      <c r="H117">
        <f t="shared" ref="H117:R117" si="98">IF(ISNUMBER(AVERAGE(H24:H33,H106,H97)),AVERAGE(H24:H33,H97,H106),"")</f>
        <v>5.5555555555555554</v>
      </c>
      <c r="I117">
        <f t="shared" si="98"/>
        <v>4.7272727272727275</v>
      </c>
      <c r="J117">
        <f t="shared" si="98"/>
        <v>1</v>
      </c>
      <c r="K117">
        <f t="shared" si="98"/>
        <v>0</v>
      </c>
      <c r="L117">
        <f t="shared" si="98"/>
        <v>7.333333333333333</v>
      </c>
      <c r="M117">
        <f t="shared" si="98"/>
        <v>13</v>
      </c>
      <c r="N117">
        <f t="shared" si="98"/>
        <v>2</v>
      </c>
      <c r="O117">
        <f t="shared" si="98"/>
        <v>10.333333333333334</v>
      </c>
      <c r="P117">
        <f t="shared" si="98"/>
        <v>5.75</v>
      </c>
      <c r="Q117">
        <f t="shared" si="98"/>
        <v>1</v>
      </c>
      <c r="R117">
        <f t="shared" si="98"/>
        <v>5.833333333333333</v>
      </c>
      <c r="T117">
        <f>STDEV(G24:G33,G106,G97)</f>
        <v>20.004166232729286</v>
      </c>
      <c r="U117">
        <f t="shared" ref="U117:AE117" si="99">STDEV(H24:H33,H106,H97)</f>
        <v>8.232726023485645</v>
      </c>
      <c r="V117">
        <f t="shared" si="99"/>
        <v>6.6346199452705514</v>
      </c>
      <c r="W117">
        <f t="shared" si="99"/>
        <v>2</v>
      </c>
      <c r="X117">
        <f t="shared" si="99"/>
        <v>0</v>
      </c>
      <c r="Y117">
        <f t="shared" si="99"/>
        <v>16.083117442419756</v>
      </c>
      <c r="Z117">
        <f t="shared" si="99"/>
        <v>21.656407827707714</v>
      </c>
      <c r="AA117" t="e">
        <f t="shared" si="99"/>
        <v>#DIV/0!</v>
      </c>
      <c r="AB117">
        <f t="shared" si="99"/>
        <v>14.78738200854589</v>
      </c>
      <c r="AC117">
        <f t="shared" si="99"/>
        <v>10.843584893075414</v>
      </c>
      <c r="AD117">
        <f t="shared" si="99"/>
        <v>1.4142135623730951</v>
      </c>
      <c r="AE117">
        <f t="shared" si="99"/>
        <v>8.7730648388500274</v>
      </c>
      <c r="AG117">
        <f>COUNT(G24:G33,G106,G97)</f>
        <v>6</v>
      </c>
      <c r="AH117">
        <f t="shared" ref="AH117:AR117" si="100">COUNT(H24:H33,H106,H97)</f>
        <v>9</v>
      </c>
      <c r="AI117">
        <f t="shared" si="100"/>
        <v>11</v>
      </c>
      <c r="AJ117">
        <f t="shared" si="100"/>
        <v>4</v>
      </c>
      <c r="AK117">
        <f t="shared" si="100"/>
        <v>2</v>
      </c>
      <c r="AL117">
        <f t="shared" si="100"/>
        <v>6</v>
      </c>
      <c r="AM117">
        <f t="shared" si="100"/>
        <v>3</v>
      </c>
      <c r="AN117">
        <f t="shared" si="100"/>
        <v>1</v>
      </c>
      <c r="AO117">
        <f t="shared" si="100"/>
        <v>6</v>
      </c>
      <c r="AP117">
        <f t="shared" si="100"/>
        <v>4</v>
      </c>
      <c r="AQ117">
        <f t="shared" si="100"/>
        <v>2</v>
      </c>
      <c r="AR117">
        <f t="shared" si="100"/>
        <v>6</v>
      </c>
      <c r="AT117" s="169">
        <f t="shared" ref="AT117:BE117" si="101">MIN(G24:G33)</f>
        <v>0</v>
      </c>
      <c r="AU117" s="169">
        <f t="shared" si="101"/>
        <v>0</v>
      </c>
      <c r="AV117" s="169">
        <f t="shared" si="101"/>
        <v>0</v>
      </c>
      <c r="AW117" s="169">
        <f t="shared" si="101"/>
        <v>0</v>
      </c>
      <c r="AX117" s="169">
        <f t="shared" si="101"/>
        <v>0</v>
      </c>
      <c r="AY117" s="169">
        <f t="shared" si="101"/>
        <v>0</v>
      </c>
      <c r="AZ117" s="169">
        <f t="shared" si="101"/>
        <v>0</v>
      </c>
      <c r="BA117" s="169">
        <f t="shared" si="101"/>
        <v>2</v>
      </c>
      <c r="BB117" s="169">
        <f t="shared" si="101"/>
        <v>0</v>
      </c>
      <c r="BC117" s="169">
        <f t="shared" si="101"/>
        <v>0</v>
      </c>
      <c r="BD117" s="169">
        <f t="shared" si="101"/>
        <v>0</v>
      </c>
      <c r="BE117" s="169">
        <f t="shared" si="101"/>
        <v>0</v>
      </c>
      <c r="BF117" s="169"/>
      <c r="BG117" s="169">
        <f t="shared" ref="BG117:BR117" si="102">MAX(G24:G33)</f>
        <v>49</v>
      </c>
      <c r="BH117" s="169">
        <f t="shared" si="102"/>
        <v>21</v>
      </c>
      <c r="BI117" s="169">
        <f t="shared" si="102"/>
        <v>21</v>
      </c>
      <c r="BJ117" s="169">
        <f t="shared" si="102"/>
        <v>4</v>
      </c>
      <c r="BK117" s="169">
        <f t="shared" si="102"/>
        <v>0</v>
      </c>
      <c r="BL117">
        <f t="shared" si="102"/>
        <v>40</v>
      </c>
      <c r="BM117">
        <f t="shared" si="102"/>
        <v>38</v>
      </c>
      <c r="BN117">
        <f t="shared" si="102"/>
        <v>2</v>
      </c>
      <c r="BO117">
        <f t="shared" si="102"/>
        <v>38</v>
      </c>
      <c r="BP117">
        <f t="shared" si="102"/>
        <v>22</v>
      </c>
      <c r="BQ117">
        <f t="shared" si="102"/>
        <v>2</v>
      </c>
      <c r="BR117">
        <f t="shared" si="102"/>
        <v>22</v>
      </c>
      <c r="EB117" s="4"/>
      <c r="EC117" s="4"/>
      <c r="ED117" s="4"/>
      <c r="EE117" s="4"/>
      <c r="EF117" s="4"/>
      <c r="EG117" s="4"/>
      <c r="EH117" s="4"/>
      <c r="EI117" s="4"/>
      <c r="EJ117" s="4"/>
    </row>
    <row r="118" spans="2:140">
      <c r="B118" s="367"/>
      <c r="C118" t="s">
        <v>47</v>
      </c>
      <c r="D118" s="169"/>
      <c r="G118">
        <f>IF(ISNUMBER(G34),AVERAGE(G34),"")</f>
        <v>0</v>
      </c>
      <c r="H118">
        <f t="shared" ref="H118:R118" si="103">IF(ISNUMBER(H34),AVERAGE(H34),"")</f>
        <v>0</v>
      </c>
      <c r="I118">
        <f t="shared" si="103"/>
        <v>0</v>
      </c>
      <c r="J118" t="str">
        <f t="shared" si="103"/>
        <v/>
      </c>
      <c r="K118" t="str">
        <f t="shared" si="103"/>
        <v/>
      </c>
      <c r="L118" t="str">
        <f t="shared" si="103"/>
        <v/>
      </c>
      <c r="M118">
        <f t="shared" si="103"/>
        <v>0</v>
      </c>
      <c r="N118">
        <f t="shared" si="103"/>
        <v>0</v>
      </c>
      <c r="O118">
        <f t="shared" si="103"/>
        <v>0</v>
      </c>
      <c r="P118">
        <f t="shared" si="103"/>
        <v>0</v>
      </c>
      <c r="Q118">
        <f t="shared" si="103"/>
        <v>0</v>
      </c>
      <c r="R118">
        <f t="shared" si="103"/>
        <v>0</v>
      </c>
      <c r="T118" t="e">
        <f t="shared" ref="T118:AE118" si="104">STDEV(G34)</f>
        <v>#DIV/0!</v>
      </c>
      <c r="U118" t="e">
        <f t="shared" si="104"/>
        <v>#DIV/0!</v>
      </c>
      <c r="V118" t="e">
        <f t="shared" si="104"/>
        <v>#DIV/0!</v>
      </c>
      <c r="W118" t="e">
        <f t="shared" si="104"/>
        <v>#DIV/0!</v>
      </c>
      <c r="X118" t="e">
        <f t="shared" si="104"/>
        <v>#DIV/0!</v>
      </c>
      <c r="Y118" t="e">
        <f t="shared" si="104"/>
        <v>#DIV/0!</v>
      </c>
      <c r="Z118" t="e">
        <f t="shared" si="104"/>
        <v>#DIV/0!</v>
      </c>
      <c r="AA118" t="e">
        <f t="shared" si="104"/>
        <v>#DIV/0!</v>
      </c>
      <c r="AB118" t="e">
        <f t="shared" si="104"/>
        <v>#DIV/0!</v>
      </c>
      <c r="AC118" t="e">
        <f t="shared" si="104"/>
        <v>#DIV/0!</v>
      </c>
      <c r="AD118" t="e">
        <f t="shared" si="104"/>
        <v>#DIV/0!</v>
      </c>
      <c r="AE118" t="e">
        <f t="shared" si="104"/>
        <v>#DIV/0!</v>
      </c>
      <c r="AG118">
        <f t="shared" ref="AG118:AR118" si="105">COUNT(G34)</f>
        <v>1</v>
      </c>
      <c r="AH118">
        <f t="shared" si="105"/>
        <v>1</v>
      </c>
      <c r="AI118">
        <f t="shared" si="105"/>
        <v>1</v>
      </c>
      <c r="AJ118">
        <f t="shared" si="105"/>
        <v>0</v>
      </c>
      <c r="AK118">
        <f t="shared" si="105"/>
        <v>0</v>
      </c>
      <c r="AL118">
        <f t="shared" si="105"/>
        <v>0</v>
      </c>
      <c r="AM118">
        <f t="shared" si="105"/>
        <v>1</v>
      </c>
      <c r="AN118">
        <f t="shared" si="105"/>
        <v>1</v>
      </c>
      <c r="AO118">
        <f t="shared" si="105"/>
        <v>1</v>
      </c>
      <c r="AP118">
        <f t="shared" si="105"/>
        <v>1</v>
      </c>
      <c r="AQ118">
        <f t="shared" si="105"/>
        <v>1</v>
      </c>
      <c r="AR118">
        <f t="shared" si="105"/>
        <v>1</v>
      </c>
      <c r="AT118" s="169">
        <f t="shared" ref="AT118:BE118" si="106">MIN(G34)</f>
        <v>0</v>
      </c>
      <c r="AU118" s="169">
        <f t="shared" si="106"/>
        <v>0</v>
      </c>
      <c r="AV118" s="169">
        <f t="shared" si="106"/>
        <v>0</v>
      </c>
      <c r="AW118" s="169">
        <f t="shared" si="106"/>
        <v>0</v>
      </c>
      <c r="AX118" s="169">
        <f t="shared" si="106"/>
        <v>0</v>
      </c>
      <c r="AY118" s="169">
        <f t="shared" si="106"/>
        <v>0</v>
      </c>
      <c r="AZ118" s="169">
        <f t="shared" si="106"/>
        <v>0</v>
      </c>
      <c r="BA118" s="169">
        <f t="shared" si="106"/>
        <v>0</v>
      </c>
      <c r="BB118" s="169">
        <f t="shared" si="106"/>
        <v>0</v>
      </c>
      <c r="BC118" s="169">
        <f t="shared" si="106"/>
        <v>0</v>
      </c>
      <c r="BD118" s="169">
        <f t="shared" si="106"/>
        <v>0</v>
      </c>
      <c r="BE118" s="169">
        <f t="shared" si="106"/>
        <v>0</v>
      </c>
      <c r="BF118" s="169"/>
      <c r="BG118" s="169">
        <f t="shared" ref="BG118:BR118" si="107">MAX(G34)</f>
        <v>0</v>
      </c>
      <c r="BH118" s="169">
        <f t="shared" si="107"/>
        <v>0</v>
      </c>
      <c r="BI118" s="169">
        <f t="shared" si="107"/>
        <v>0</v>
      </c>
      <c r="BJ118" s="169">
        <f t="shared" si="107"/>
        <v>0</v>
      </c>
      <c r="BK118" s="169">
        <f t="shared" si="107"/>
        <v>0</v>
      </c>
      <c r="BL118">
        <f t="shared" si="107"/>
        <v>0</v>
      </c>
      <c r="BM118">
        <f t="shared" si="107"/>
        <v>0</v>
      </c>
      <c r="BN118">
        <f t="shared" si="107"/>
        <v>0</v>
      </c>
      <c r="BO118">
        <f t="shared" si="107"/>
        <v>0</v>
      </c>
      <c r="BP118">
        <f t="shared" si="107"/>
        <v>0</v>
      </c>
      <c r="BQ118">
        <f t="shared" si="107"/>
        <v>0</v>
      </c>
      <c r="BR118">
        <f t="shared" si="107"/>
        <v>0</v>
      </c>
      <c r="EB118" s="4"/>
      <c r="EC118" s="4"/>
      <c r="ED118" s="4"/>
      <c r="EE118" s="4"/>
      <c r="EF118" s="4"/>
      <c r="EG118" s="4"/>
      <c r="EH118" s="4"/>
      <c r="EI118" s="4"/>
      <c r="EJ118" s="4"/>
    </row>
    <row r="119" spans="2:140">
      <c r="B119" s="367"/>
      <c r="C119" t="s">
        <v>50</v>
      </c>
      <c r="D119" s="169"/>
      <c r="G119">
        <f>IF(ISNUMBER(AVERAGE(G47:G49)),AVERAGE(G47:G49),"")</f>
        <v>0</v>
      </c>
      <c r="H119">
        <f t="shared" ref="H119:R119" si="108">IF(ISNUMBER(AVERAGE(H47:H49)),AVERAGE(H47:H49),"")</f>
        <v>14.5</v>
      </c>
      <c r="I119">
        <f t="shared" si="108"/>
        <v>14.5</v>
      </c>
      <c r="J119">
        <f t="shared" si="108"/>
        <v>0</v>
      </c>
      <c r="K119">
        <f t="shared" si="108"/>
        <v>42</v>
      </c>
      <c r="L119">
        <f t="shared" si="108"/>
        <v>7</v>
      </c>
      <c r="M119">
        <f t="shared" si="108"/>
        <v>0</v>
      </c>
      <c r="N119">
        <f t="shared" si="108"/>
        <v>19</v>
      </c>
      <c r="O119">
        <f t="shared" si="108"/>
        <v>17.333333333333332</v>
      </c>
      <c r="P119">
        <f t="shared" si="108"/>
        <v>0</v>
      </c>
      <c r="Q119">
        <f t="shared" si="108"/>
        <v>30.5</v>
      </c>
      <c r="R119">
        <f t="shared" si="108"/>
        <v>16</v>
      </c>
      <c r="T119" t="e">
        <f t="shared" ref="T119:AE119" si="109">STDEV(G47:G49)</f>
        <v>#DIV/0!</v>
      </c>
      <c r="U119">
        <f t="shared" si="109"/>
        <v>20.506096654409877</v>
      </c>
      <c r="V119">
        <f t="shared" si="109"/>
        <v>20.506096654409877</v>
      </c>
      <c r="W119">
        <f t="shared" si="109"/>
        <v>0</v>
      </c>
      <c r="X119" t="e">
        <f t="shared" si="109"/>
        <v>#DIV/0!</v>
      </c>
      <c r="Y119">
        <f t="shared" si="109"/>
        <v>9.8994949366116654</v>
      </c>
      <c r="Z119" t="e">
        <f t="shared" si="109"/>
        <v>#DIV/0!</v>
      </c>
      <c r="AA119" t="e">
        <f t="shared" si="109"/>
        <v>#DIV/0!</v>
      </c>
      <c r="AB119">
        <f t="shared" si="109"/>
        <v>16.563010998406458</v>
      </c>
      <c r="AC119">
        <f t="shared" si="109"/>
        <v>0</v>
      </c>
      <c r="AD119">
        <f t="shared" si="109"/>
        <v>16.263455967290593</v>
      </c>
      <c r="AE119">
        <f t="shared" si="109"/>
        <v>14.730919862656235</v>
      </c>
      <c r="AG119">
        <f t="shared" ref="AG119:AR119" si="110">COUNT(G47:G49)</f>
        <v>1</v>
      </c>
      <c r="AH119">
        <f t="shared" si="110"/>
        <v>2</v>
      </c>
      <c r="AI119">
        <f t="shared" si="110"/>
        <v>2</v>
      </c>
      <c r="AJ119">
        <f t="shared" si="110"/>
        <v>2</v>
      </c>
      <c r="AK119">
        <f t="shared" si="110"/>
        <v>1</v>
      </c>
      <c r="AL119">
        <f t="shared" si="110"/>
        <v>2</v>
      </c>
      <c r="AM119">
        <f t="shared" si="110"/>
        <v>1</v>
      </c>
      <c r="AN119">
        <f t="shared" si="110"/>
        <v>1</v>
      </c>
      <c r="AO119">
        <f t="shared" si="110"/>
        <v>3</v>
      </c>
      <c r="AP119">
        <f t="shared" si="110"/>
        <v>2</v>
      </c>
      <c r="AQ119">
        <f t="shared" si="110"/>
        <v>2</v>
      </c>
      <c r="AR119">
        <f t="shared" si="110"/>
        <v>3</v>
      </c>
      <c r="AT119" s="169">
        <f t="shared" ref="AT119:BE119" si="111">MIN(G47:G49)</f>
        <v>0</v>
      </c>
      <c r="AU119" s="169">
        <f t="shared" si="111"/>
        <v>0</v>
      </c>
      <c r="AV119" s="169">
        <f t="shared" si="111"/>
        <v>0</v>
      </c>
      <c r="AW119" s="169">
        <f t="shared" si="111"/>
        <v>0</v>
      </c>
      <c r="AX119" s="169">
        <f t="shared" si="111"/>
        <v>42</v>
      </c>
      <c r="AY119" s="169">
        <f t="shared" si="111"/>
        <v>0</v>
      </c>
      <c r="AZ119" s="169">
        <f t="shared" si="111"/>
        <v>0</v>
      </c>
      <c r="BA119" s="169">
        <f t="shared" si="111"/>
        <v>19</v>
      </c>
      <c r="BB119" s="169">
        <f t="shared" si="111"/>
        <v>0</v>
      </c>
      <c r="BC119" s="169">
        <f t="shared" si="111"/>
        <v>0</v>
      </c>
      <c r="BD119" s="169">
        <f t="shared" si="111"/>
        <v>19</v>
      </c>
      <c r="BE119" s="169">
        <f t="shared" si="111"/>
        <v>0</v>
      </c>
      <c r="BF119" s="169"/>
      <c r="BG119" s="169">
        <f t="shared" ref="BG119:BR119" si="112">MAX(G47:G49)</f>
        <v>0</v>
      </c>
      <c r="BH119" s="169">
        <f t="shared" si="112"/>
        <v>29</v>
      </c>
      <c r="BI119" s="169">
        <f t="shared" si="112"/>
        <v>29</v>
      </c>
      <c r="BJ119" s="169">
        <f t="shared" si="112"/>
        <v>0</v>
      </c>
      <c r="BK119" s="169">
        <f t="shared" si="112"/>
        <v>42</v>
      </c>
      <c r="BL119">
        <f t="shared" si="112"/>
        <v>14</v>
      </c>
      <c r="BM119">
        <f t="shared" si="112"/>
        <v>0</v>
      </c>
      <c r="BN119">
        <f t="shared" si="112"/>
        <v>19</v>
      </c>
      <c r="BO119">
        <f t="shared" si="112"/>
        <v>33</v>
      </c>
      <c r="BP119">
        <f t="shared" si="112"/>
        <v>0</v>
      </c>
      <c r="BQ119">
        <f t="shared" si="112"/>
        <v>42</v>
      </c>
      <c r="BR119">
        <f t="shared" si="112"/>
        <v>29</v>
      </c>
      <c r="EB119" s="4"/>
      <c r="EC119" s="4"/>
      <c r="ED119" s="4"/>
      <c r="EE119" s="4"/>
      <c r="EF119" s="4"/>
      <c r="EG119" s="4"/>
      <c r="EH119" s="4"/>
      <c r="EI119" s="4"/>
      <c r="EJ119" s="4"/>
    </row>
    <row r="120" spans="2:140">
      <c r="B120" s="367"/>
      <c r="C120" t="s">
        <v>153</v>
      </c>
      <c r="D120" s="169"/>
      <c r="G120">
        <f>IF(ISNUMBER(AVERAGE(G51:G59)),AVERAGE(G51:G59),"")</f>
        <v>0</v>
      </c>
      <c r="H120">
        <f t="shared" ref="H120:R120" si="113">IF(ISNUMBER(AVERAGE(H51:H59)),AVERAGE(H51:H59),"")</f>
        <v>4.3125</v>
      </c>
      <c r="I120">
        <f t="shared" si="113"/>
        <v>4.583333333333333</v>
      </c>
      <c r="J120">
        <f t="shared" si="113"/>
        <v>6</v>
      </c>
      <c r="K120">
        <f t="shared" si="113"/>
        <v>0</v>
      </c>
      <c r="L120">
        <f t="shared" si="113"/>
        <v>6</v>
      </c>
      <c r="M120">
        <f t="shared" si="113"/>
        <v>32</v>
      </c>
      <c r="N120">
        <f t="shared" si="113"/>
        <v>4</v>
      </c>
      <c r="O120">
        <f t="shared" si="113"/>
        <v>30.5</v>
      </c>
      <c r="P120">
        <f t="shared" si="113"/>
        <v>7</v>
      </c>
      <c r="Q120">
        <f t="shared" si="113"/>
        <v>3.5</v>
      </c>
      <c r="R120">
        <f t="shared" si="113"/>
        <v>7</v>
      </c>
      <c r="T120">
        <f t="shared" ref="T120:AE120" si="114">STDEV(G51:G59)</f>
        <v>0</v>
      </c>
      <c r="U120">
        <f t="shared" si="114"/>
        <v>2.8402401809907354</v>
      </c>
      <c r="V120">
        <f t="shared" si="114"/>
        <v>2.9054546402700328</v>
      </c>
      <c r="W120">
        <f t="shared" si="114"/>
        <v>2.8284271247461903</v>
      </c>
      <c r="X120">
        <f t="shared" si="114"/>
        <v>0</v>
      </c>
      <c r="Y120">
        <f t="shared" si="114"/>
        <v>2.8284271247461903</v>
      </c>
      <c r="Z120">
        <f t="shared" si="114"/>
        <v>33.941125496954278</v>
      </c>
      <c r="AA120">
        <f t="shared" si="114"/>
        <v>5.6568542494923806</v>
      </c>
      <c r="AB120">
        <f t="shared" si="114"/>
        <v>31.81980515339464</v>
      </c>
      <c r="AC120">
        <f t="shared" si="114"/>
        <v>1.4142135623730951</v>
      </c>
      <c r="AD120">
        <f t="shared" si="114"/>
        <v>4.9497474683058327</v>
      </c>
      <c r="AE120">
        <f t="shared" si="114"/>
        <v>1.4142135623730951</v>
      </c>
      <c r="AG120">
        <f t="shared" ref="AG120:AR120" si="115">COUNT(G51:G59)</f>
        <v>4</v>
      </c>
      <c r="AH120">
        <f t="shared" si="115"/>
        <v>8</v>
      </c>
      <c r="AI120">
        <f t="shared" si="115"/>
        <v>6</v>
      </c>
      <c r="AJ120">
        <f t="shared" si="115"/>
        <v>2</v>
      </c>
      <c r="AK120">
        <f t="shared" si="115"/>
        <v>2</v>
      </c>
      <c r="AL120">
        <f t="shared" si="115"/>
        <v>2</v>
      </c>
      <c r="AM120">
        <f t="shared" si="115"/>
        <v>2</v>
      </c>
      <c r="AN120">
        <f t="shared" si="115"/>
        <v>2</v>
      </c>
      <c r="AO120">
        <f t="shared" si="115"/>
        <v>2</v>
      </c>
      <c r="AP120">
        <f t="shared" si="115"/>
        <v>2</v>
      </c>
      <c r="AQ120">
        <f t="shared" si="115"/>
        <v>2</v>
      </c>
      <c r="AR120">
        <f t="shared" si="115"/>
        <v>2</v>
      </c>
      <c r="AT120" s="169">
        <f t="shared" ref="AT120:BE120" si="116">MIN(G51:G59)</f>
        <v>0</v>
      </c>
      <c r="AU120" s="169">
        <f t="shared" si="116"/>
        <v>1</v>
      </c>
      <c r="AV120" s="169">
        <f t="shared" si="116"/>
        <v>1</v>
      </c>
      <c r="AW120" s="169">
        <f t="shared" si="116"/>
        <v>4</v>
      </c>
      <c r="AX120" s="169">
        <f t="shared" si="116"/>
        <v>0</v>
      </c>
      <c r="AY120" s="169">
        <f t="shared" si="116"/>
        <v>4</v>
      </c>
      <c r="AZ120" s="169">
        <f t="shared" si="116"/>
        <v>8</v>
      </c>
      <c r="BA120" s="169">
        <f t="shared" si="116"/>
        <v>0</v>
      </c>
      <c r="BB120" s="169">
        <f t="shared" si="116"/>
        <v>8</v>
      </c>
      <c r="BC120" s="169">
        <f t="shared" si="116"/>
        <v>6</v>
      </c>
      <c r="BD120" s="169">
        <f t="shared" si="116"/>
        <v>0</v>
      </c>
      <c r="BE120" s="169">
        <f t="shared" si="116"/>
        <v>6</v>
      </c>
      <c r="BF120" s="169"/>
      <c r="BG120" s="169">
        <f t="shared" ref="BG120:BR120" si="117">MAX(G51:G59)</f>
        <v>0</v>
      </c>
      <c r="BH120" s="169">
        <f t="shared" si="117"/>
        <v>8</v>
      </c>
      <c r="BI120" s="169">
        <f t="shared" si="117"/>
        <v>8</v>
      </c>
      <c r="BJ120" s="169">
        <f t="shared" si="117"/>
        <v>8</v>
      </c>
      <c r="BK120" s="169">
        <f t="shared" si="117"/>
        <v>0</v>
      </c>
      <c r="BL120">
        <f t="shared" si="117"/>
        <v>8</v>
      </c>
      <c r="BM120">
        <f t="shared" si="117"/>
        <v>56</v>
      </c>
      <c r="BN120">
        <f t="shared" si="117"/>
        <v>8</v>
      </c>
      <c r="BO120">
        <f t="shared" si="117"/>
        <v>53</v>
      </c>
      <c r="BP120">
        <f t="shared" si="117"/>
        <v>8</v>
      </c>
      <c r="BQ120">
        <f t="shared" si="117"/>
        <v>7</v>
      </c>
      <c r="BR120">
        <f t="shared" si="117"/>
        <v>8</v>
      </c>
      <c r="EB120" s="4"/>
      <c r="EC120" s="4"/>
      <c r="ED120" s="4"/>
      <c r="EE120" s="4"/>
      <c r="EF120" s="4"/>
      <c r="EG120" s="4"/>
      <c r="EH120" s="4"/>
      <c r="EI120" s="4"/>
      <c r="EJ120" s="4"/>
    </row>
    <row r="121" spans="2:140">
      <c r="B121" s="367"/>
      <c r="C121" t="s">
        <v>46</v>
      </c>
      <c r="D121" s="169"/>
      <c r="G121">
        <f>IF(ISNUMBER(AVERAGE(G35:G37,G40:G46,G50,G97)),AVERAGE(G35:G37,G40:G46,G50,G97),"")</f>
        <v>5.5</v>
      </c>
      <c r="H121">
        <f t="shared" ref="H121:R121" si="118">IF(ISNUMBER(AVERAGE(H35:H37,H40:H46,H50,H97)),AVERAGE(H35:H37,H40:H46,H50,H97),"")</f>
        <v>6.9090909090909092</v>
      </c>
      <c r="I121">
        <f t="shared" si="118"/>
        <v>7.166666666666667</v>
      </c>
      <c r="J121">
        <f t="shared" si="118"/>
        <v>1.75</v>
      </c>
      <c r="K121">
        <f t="shared" si="118"/>
        <v>4</v>
      </c>
      <c r="L121">
        <f t="shared" si="118"/>
        <v>2.5</v>
      </c>
      <c r="M121">
        <f t="shared" si="118"/>
        <v>5.5</v>
      </c>
      <c r="N121">
        <f t="shared" si="118"/>
        <v>14.333333333333334</v>
      </c>
      <c r="O121">
        <f t="shared" si="118"/>
        <v>9.6666666666666661</v>
      </c>
      <c r="P121">
        <f t="shared" si="118"/>
        <v>2.5</v>
      </c>
      <c r="Q121">
        <f t="shared" si="118"/>
        <v>17</v>
      </c>
      <c r="R121">
        <f t="shared" si="118"/>
        <v>6.5</v>
      </c>
      <c r="T121">
        <f>STDEV(G35:G37,G40:G46,G50,G97)</f>
        <v>11</v>
      </c>
      <c r="U121">
        <f t="shared" ref="U121:AE121" si="119">STDEV(H35:H37,H40:H46,H50,H97)</f>
        <v>7.6217392431720654</v>
      </c>
      <c r="V121">
        <f t="shared" si="119"/>
        <v>8.2333394675477081</v>
      </c>
      <c r="W121">
        <f t="shared" si="119"/>
        <v>2.0615528128088303</v>
      </c>
      <c r="X121">
        <f t="shared" si="119"/>
        <v>5.6568542494923806</v>
      </c>
      <c r="Y121">
        <f t="shared" si="119"/>
        <v>2.9495762407505248</v>
      </c>
      <c r="Z121">
        <f t="shared" si="119"/>
        <v>7.1414284285428504</v>
      </c>
      <c r="AA121">
        <f t="shared" si="119"/>
        <v>24.826061575153908</v>
      </c>
      <c r="AB121">
        <f t="shared" si="119"/>
        <v>9.0700973901423279</v>
      </c>
      <c r="AC121">
        <f t="shared" si="119"/>
        <v>2.6457513110645907</v>
      </c>
      <c r="AD121">
        <f t="shared" si="119"/>
        <v>21.377558326431949</v>
      </c>
      <c r="AE121">
        <f t="shared" si="119"/>
        <v>7.2318738927058179</v>
      </c>
      <c r="AG121">
        <f>COUNT(G35:G37,G40:G46,G50,G97)</f>
        <v>4</v>
      </c>
      <c r="AH121">
        <f t="shared" ref="AH121:AR121" si="120">COUNT(H35:H37,H40:H46,H50,H97)</f>
        <v>11</v>
      </c>
      <c r="AI121">
        <f t="shared" si="120"/>
        <v>12</v>
      </c>
      <c r="AJ121">
        <f t="shared" si="120"/>
        <v>4</v>
      </c>
      <c r="AK121">
        <f t="shared" si="120"/>
        <v>2</v>
      </c>
      <c r="AL121">
        <f t="shared" si="120"/>
        <v>6</v>
      </c>
      <c r="AM121">
        <f t="shared" si="120"/>
        <v>4</v>
      </c>
      <c r="AN121">
        <f t="shared" si="120"/>
        <v>3</v>
      </c>
      <c r="AO121">
        <f t="shared" si="120"/>
        <v>6</v>
      </c>
      <c r="AP121">
        <f t="shared" si="120"/>
        <v>4</v>
      </c>
      <c r="AQ121">
        <f t="shared" si="120"/>
        <v>3</v>
      </c>
      <c r="AR121">
        <f t="shared" si="120"/>
        <v>6</v>
      </c>
      <c r="AT121" s="169">
        <f>MIN(G35:G37,G40:G46,G50,G97)</f>
        <v>0</v>
      </c>
      <c r="AU121" s="169">
        <f t="shared" ref="AU121:AX121" si="121">MIN(H35:H37,H40:H46,H50,H97)</f>
        <v>0</v>
      </c>
      <c r="AV121" s="169">
        <f t="shared" si="121"/>
        <v>0</v>
      </c>
      <c r="AW121" s="169">
        <f t="shared" si="121"/>
        <v>0</v>
      </c>
      <c r="AX121" s="169">
        <f t="shared" si="121"/>
        <v>0</v>
      </c>
      <c r="AY121" s="169">
        <f t="shared" ref="AY121:BE121" si="122">MIN(L35:L37,L40:L46,L50)</f>
        <v>0</v>
      </c>
      <c r="AZ121" s="169">
        <f t="shared" si="122"/>
        <v>1</v>
      </c>
      <c r="BA121" s="169">
        <f t="shared" si="122"/>
        <v>0</v>
      </c>
      <c r="BB121" s="169">
        <f t="shared" si="122"/>
        <v>1</v>
      </c>
      <c r="BC121" s="169">
        <f t="shared" si="122"/>
        <v>0</v>
      </c>
      <c r="BD121" s="169">
        <f t="shared" si="122"/>
        <v>0</v>
      </c>
      <c r="BE121" s="169">
        <f t="shared" si="122"/>
        <v>0</v>
      </c>
      <c r="BF121" s="169"/>
      <c r="BG121" s="169">
        <f t="shared" ref="BG121:BR121" si="123">MAX(G35:G37,G40:G46,G50)</f>
        <v>22</v>
      </c>
      <c r="BH121" s="169">
        <f t="shared" si="123"/>
        <v>20</v>
      </c>
      <c r="BI121" s="169">
        <f t="shared" si="123"/>
        <v>23</v>
      </c>
      <c r="BJ121" s="169">
        <f t="shared" si="123"/>
        <v>4</v>
      </c>
      <c r="BK121" s="169">
        <f t="shared" si="123"/>
        <v>8</v>
      </c>
      <c r="BL121">
        <f t="shared" si="123"/>
        <v>7</v>
      </c>
      <c r="BM121">
        <f t="shared" si="123"/>
        <v>16</v>
      </c>
      <c r="BN121">
        <f t="shared" si="123"/>
        <v>43</v>
      </c>
      <c r="BO121">
        <f t="shared" si="123"/>
        <v>22</v>
      </c>
      <c r="BP121">
        <f t="shared" si="123"/>
        <v>6</v>
      </c>
      <c r="BQ121">
        <f t="shared" si="123"/>
        <v>41</v>
      </c>
      <c r="BR121">
        <f t="shared" si="123"/>
        <v>20</v>
      </c>
      <c r="EB121" s="4"/>
      <c r="EC121" s="4"/>
      <c r="ED121" s="4"/>
      <c r="EE121" s="4"/>
      <c r="EF121" s="4"/>
      <c r="EG121" s="4"/>
      <c r="EH121" s="4"/>
      <c r="EI121" s="4"/>
      <c r="EJ121" s="4"/>
    </row>
    <row r="122" spans="2:140">
      <c r="B122" s="367"/>
      <c r="C122" t="s">
        <v>134</v>
      </c>
      <c r="D122" s="169"/>
      <c r="G122">
        <f>IF(ISNUMBER(AVERAGE(G38)),AVERAGE(G38),"")</f>
        <v>0</v>
      </c>
      <c r="H122">
        <f t="shared" ref="H122:R122" si="124">IF(ISNUMBER(AVERAGE(H38)),AVERAGE(H38),"")</f>
        <v>0</v>
      </c>
      <c r="I122">
        <f t="shared" si="124"/>
        <v>0</v>
      </c>
      <c r="J122" t="str">
        <f t="shared" si="124"/>
        <v/>
      </c>
      <c r="K122" t="str">
        <f t="shared" si="124"/>
        <v/>
      </c>
      <c r="L122" t="str">
        <f t="shared" si="124"/>
        <v/>
      </c>
      <c r="M122">
        <f t="shared" si="124"/>
        <v>0</v>
      </c>
      <c r="N122">
        <f t="shared" si="124"/>
        <v>0</v>
      </c>
      <c r="O122">
        <f t="shared" si="124"/>
        <v>0</v>
      </c>
      <c r="P122">
        <f t="shared" si="124"/>
        <v>0</v>
      </c>
      <c r="Q122">
        <f t="shared" si="124"/>
        <v>0</v>
      </c>
      <c r="R122">
        <f t="shared" si="124"/>
        <v>0</v>
      </c>
      <c r="T122" t="e">
        <f t="shared" ref="T122:AE123" si="125">STDEV(G38)</f>
        <v>#DIV/0!</v>
      </c>
      <c r="U122" t="e">
        <f t="shared" si="125"/>
        <v>#DIV/0!</v>
      </c>
      <c r="V122" t="e">
        <f t="shared" si="125"/>
        <v>#DIV/0!</v>
      </c>
      <c r="W122" t="e">
        <f t="shared" si="125"/>
        <v>#DIV/0!</v>
      </c>
      <c r="X122" t="e">
        <f t="shared" si="125"/>
        <v>#DIV/0!</v>
      </c>
      <c r="Y122" t="e">
        <f t="shared" si="125"/>
        <v>#DIV/0!</v>
      </c>
      <c r="Z122" t="e">
        <f t="shared" si="125"/>
        <v>#DIV/0!</v>
      </c>
      <c r="AA122" t="e">
        <f t="shared" si="125"/>
        <v>#DIV/0!</v>
      </c>
      <c r="AB122" t="e">
        <f t="shared" si="125"/>
        <v>#DIV/0!</v>
      </c>
      <c r="AC122" t="e">
        <f t="shared" si="125"/>
        <v>#DIV/0!</v>
      </c>
      <c r="AD122" t="e">
        <f t="shared" si="125"/>
        <v>#DIV/0!</v>
      </c>
      <c r="AE122" t="e">
        <f t="shared" si="125"/>
        <v>#DIV/0!</v>
      </c>
      <c r="AG122">
        <f t="shared" ref="AG122:AR123" si="126">COUNT(G38)</f>
        <v>1</v>
      </c>
      <c r="AH122">
        <f t="shared" si="126"/>
        <v>1</v>
      </c>
      <c r="AI122">
        <f t="shared" si="126"/>
        <v>1</v>
      </c>
      <c r="AJ122">
        <f t="shared" si="126"/>
        <v>0</v>
      </c>
      <c r="AK122">
        <f t="shared" si="126"/>
        <v>0</v>
      </c>
      <c r="AL122">
        <f t="shared" si="126"/>
        <v>0</v>
      </c>
      <c r="AM122">
        <f t="shared" si="126"/>
        <v>1</v>
      </c>
      <c r="AN122">
        <f t="shared" si="126"/>
        <v>1</v>
      </c>
      <c r="AO122">
        <f t="shared" si="126"/>
        <v>1</v>
      </c>
      <c r="AP122">
        <f t="shared" si="126"/>
        <v>1</v>
      </c>
      <c r="AQ122">
        <f t="shared" si="126"/>
        <v>1</v>
      </c>
      <c r="AR122">
        <f t="shared" si="126"/>
        <v>1</v>
      </c>
      <c r="AT122" s="169">
        <f t="shared" ref="AT122:BE123" si="127">MIN(G38)</f>
        <v>0</v>
      </c>
      <c r="AU122" s="169">
        <f t="shared" si="127"/>
        <v>0</v>
      </c>
      <c r="AV122" s="169">
        <f t="shared" si="127"/>
        <v>0</v>
      </c>
      <c r="AW122" s="169">
        <f t="shared" si="127"/>
        <v>0</v>
      </c>
      <c r="AX122" s="169">
        <f t="shared" si="127"/>
        <v>0</v>
      </c>
      <c r="AY122" s="169">
        <f t="shared" si="127"/>
        <v>0</v>
      </c>
      <c r="AZ122" s="169">
        <f t="shared" si="127"/>
        <v>0</v>
      </c>
      <c r="BA122" s="169">
        <f t="shared" si="127"/>
        <v>0</v>
      </c>
      <c r="BB122" s="169">
        <f t="shared" si="127"/>
        <v>0</v>
      </c>
      <c r="BC122" s="169">
        <f t="shared" si="127"/>
        <v>0</v>
      </c>
      <c r="BD122" s="169">
        <f t="shared" si="127"/>
        <v>0</v>
      </c>
      <c r="BE122" s="169">
        <f t="shared" si="127"/>
        <v>0</v>
      </c>
      <c r="BF122" s="169"/>
      <c r="BG122" s="169">
        <f t="shared" ref="BG122:BR123" si="128">MAX(G38)</f>
        <v>0</v>
      </c>
      <c r="BH122" s="169">
        <f t="shared" si="128"/>
        <v>0</v>
      </c>
      <c r="BI122" s="169">
        <f t="shared" si="128"/>
        <v>0</v>
      </c>
      <c r="BJ122" s="169">
        <f t="shared" si="128"/>
        <v>0</v>
      </c>
      <c r="BK122" s="169">
        <f t="shared" si="128"/>
        <v>0</v>
      </c>
      <c r="BL122">
        <f t="shared" si="128"/>
        <v>0</v>
      </c>
      <c r="BM122">
        <f t="shared" si="128"/>
        <v>0</v>
      </c>
      <c r="BN122">
        <f t="shared" si="128"/>
        <v>0</v>
      </c>
      <c r="BO122">
        <f t="shared" si="128"/>
        <v>0</v>
      </c>
      <c r="BP122">
        <f t="shared" si="128"/>
        <v>0</v>
      </c>
      <c r="BQ122">
        <f t="shared" si="128"/>
        <v>0</v>
      </c>
      <c r="BR122">
        <f t="shared" si="128"/>
        <v>0</v>
      </c>
      <c r="EB122" s="4"/>
      <c r="EC122" s="4"/>
      <c r="ED122" s="4"/>
      <c r="EE122" s="4"/>
      <c r="EF122" s="4"/>
      <c r="EG122" s="4"/>
      <c r="EH122" s="4"/>
      <c r="EI122" s="4"/>
      <c r="EJ122" s="4"/>
    </row>
    <row r="123" spans="2:140">
      <c r="B123" s="367"/>
      <c r="C123" t="s">
        <v>220</v>
      </c>
      <c r="D123" s="169"/>
      <c r="G123" t="str">
        <f>IF(ISNUMBER(AVERAGE(G39)),AVERAGE(G39),"")</f>
        <v/>
      </c>
      <c r="H123">
        <f t="shared" ref="H123:R123" si="129">IF(ISNUMBER(AVERAGE(H39)),AVERAGE(H39),"")</f>
        <v>6</v>
      </c>
      <c r="I123">
        <f t="shared" si="129"/>
        <v>6</v>
      </c>
      <c r="J123">
        <f t="shared" si="129"/>
        <v>4</v>
      </c>
      <c r="K123" t="str">
        <f t="shared" si="129"/>
        <v/>
      </c>
      <c r="L123">
        <f t="shared" si="129"/>
        <v>4</v>
      </c>
      <c r="M123">
        <f t="shared" si="129"/>
        <v>7</v>
      </c>
      <c r="N123">
        <f t="shared" si="129"/>
        <v>82</v>
      </c>
      <c r="O123">
        <f t="shared" si="129"/>
        <v>9</v>
      </c>
      <c r="P123">
        <f t="shared" si="129"/>
        <v>5</v>
      </c>
      <c r="Q123">
        <f t="shared" si="129"/>
        <v>70</v>
      </c>
      <c r="R123">
        <f t="shared" si="129"/>
        <v>6</v>
      </c>
      <c r="T123" t="e">
        <f t="shared" si="125"/>
        <v>#DIV/0!</v>
      </c>
      <c r="U123" t="e">
        <f t="shared" si="125"/>
        <v>#DIV/0!</v>
      </c>
      <c r="V123" t="e">
        <f t="shared" si="125"/>
        <v>#DIV/0!</v>
      </c>
      <c r="W123" t="e">
        <f t="shared" si="125"/>
        <v>#DIV/0!</v>
      </c>
      <c r="X123" t="e">
        <f t="shared" si="125"/>
        <v>#DIV/0!</v>
      </c>
      <c r="Y123" t="e">
        <f t="shared" si="125"/>
        <v>#DIV/0!</v>
      </c>
      <c r="Z123" t="e">
        <f t="shared" si="125"/>
        <v>#DIV/0!</v>
      </c>
      <c r="AA123" t="e">
        <f t="shared" si="125"/>
        <v>#DIV/0!</v>
      </c>
      <c r="AB123" t="e">
        <f t="shared" si="125"/>
        <v>#DIV/0!</v>
      </c>
      <c r="AC123" t="e">
        <f t="shared" si="125"/>
        <v>#DIV/0!</v>
      </c>
      <c r="AD123" t="e">
        <f t="shared" si="125"/>
        <v>#DIV/0!</v>
      </c>
      <c r="AE123" t="e">
        <f t="shared" si="125"/>
        <v>#DIV/0!</v>
      </c>
      <c r="AG123">
        <f t="shared" si="126"/>
        <v>0</v>
      </c>
      <c r="AH123">
        <f t="shared" si="126"/>
        <v>1</v>
      </c>
      <c r="AI123">
        <f t="shared" si="126"/>
        <v>1</v>
      </c>
      <c r="AJ123">
        <f t="shared" si="126"/>
        <v>1</v>
      </c>
      <c r="AK123">
        <f t="shared" si="126"/>
        <v>0</v>
      </c>
      <c r="AL123">
        <f t="shared" si="126"/>
        <v>1</v>
      </c>
      <c r="AM123">
        <f t="shared" si="126"/>
        <v>1</v>
      </c>
      <c r="AN123">
        <f t="shared" si="126"/>
        <v>1</v>
      </c>
      <c r="AO123">
        <f t="shared" si="126"/>
        <v>1</v>
      </c>
      <c r="AP123">
        <f t="shared" si="126"/>
        <v>1</v>
      </c>
      <c r="AQ123">
        <f t="shared" si="126"/>
        <v>1</v>
      </c>
      <c r="AR123">
        <f t="shared" si="126"/>
        <v>1</v>
      </c>
      <c r="AT123" s="169">
        <f t="shared" si="127"/>
        <v>0</v>
      </c>
      <c r="AU123" s="169">
        <f t="shared" si="127"/>
        <v>6</v>
      </c>
      <c r="AV123" s="169">
        <f t="shared" si="127"/>
        <v>6</v>
      </c>
      <c r="AW123" s="169">
        <f t="shared" si="127"/>
        <v>4</v>
      </c>
      <c r="AX123" s="169">
        <f t="shared" si="127"/>
        <v>0</v>
      </c>
      <c r="AY123" s="169">
        <f t="shared" si="127"/>
        <v>4</v>
      </c>
      <c r="AZ123" s="169">
        <f t="shared" si="127"/>
        <v>7</v>
      </c>
      <c r="BA123" s="169">
        <f t="shared" si="127"/>
        <v>82</v>
      </c>
      <c r="BB123" s="169">
        <f t="shared" si="127"/>
        <v>9</v>
      </c>
      <c r="BC123" s="169">
        <f t="shared" si="127"/>
        <v>5</v>
      </c>
      <c r="BD123" s="169">
        <f t="shared" si="127"/>
        <v>70</v>
      </c>
      <c r="BE123" s="169">
        <f t="shared" si="127"/>
        <v>6</v>
      </c>
      <c r="BF123" s="169"/>
      <c r="BG123" s="169">
        <f t="shared" si="128"/>
        <v>0</v>
      </c>
      <c r="BH123" s="169">
        <f t="shared" si="128"/>
        <v>6</v>
      </c>
      <c r="BI123" s="169">
        <f t="shared" si="128"/>
        <v>6</v>
      </c>
      <c r="BJ123" s="169">
        <f t="shared" si="128"/>
        <v>4</v>
      </c>
      <c r="BK123" s="169">
        <f t="shared" si="128"/>
        <v>0</v>
      </c>
      <c r="BL123">
        <f t="shared" si="128"/>
        <v>4</v>
      </c>
      <c r="BM123">
        <f t="shared" si="128"/>
        <v>7</v>
      </c>
      <c r="BN123">
        <f t="shared" si="128"/>
        <v>82</v>
      </c>
      <c r="BO123">
        <f t="shared" si="128"/>
        <v>9</v>
      </c>
      <c r="BP123">
        <f t="shared" si="128"/>
        <v>5</v>
      </c>
      <c r="BQ123">
        <f t="shared" si="128"/>
        <v>70</v>
      </c>
      <c r="BR123">
        <f t="shared" si="128"/>
        <v>6</v>
      </c>
      <c r="EB123" s="4"/>
      <c r="EC123" s="4"/>
      <c r="ED123" s="4"/>
      <c r="EE123" s="4"/>
      <c r="EF123" s="4"/>
      <c r="EG123" s="4"/>
      <c r="EH123" s="4"/>
      <c r="EI123" s="4"/>
      <c r="EJ123" s="4"/>
    </row>
    <row r="124" spans="2:140">
      <c r="B124" s="367"/>
      <c r="C124" t="s">
        <v>218</v>
      </c>
      <c r="D124" s="169"/>
      <c r="G124">
        <f>IF(ISNUMBER(G78),G78,"")</f>
        <v>41</v>
      </c>
      <c r="H124">
        <f t="shared" ref="H124:R124" si="130">IF(ISNUMBER(H78),H78,"")</f>
        <v>1</v>
      </c>
      <c r="I124">
        <f t="shared" si="130"/>
        <v>3</v>
      </c>
      <c r="J124" t="str">
        <f t="shared" si="130"/>
        <v/>
      </c>
      <c r="K124" t="str">
        <f t="shared" si="130"/>
        <v/>
      </c>
      <c r="L124" t="str">
        <f t="shared" si="130"/>
        <v/>
      </c>
      <c r="M124" t="str">
        <f t="shared" si="130"/>
        <v/>
      </c>
      <c r="N124" t="str">
        <f t="shared" si="130"/>
        <v/>
      </c>
      <c r="O124" t="str">
        <f t="shared" si="130"/>
        <v/>
      </c>
      <c r="P124">
        <f t="shared" si="130"/>
        <v>1</v>
      </c>
      <c r="Q124">
        <f t="shared" si="130"/>
        <v>6</v>
      </c>
      <c r="R124">
        <f t="shared" si="130"/>
        <v>3</v>
      </c>
      <c r="T124" t="e">
        <f t="shared" ref="T124:AE124" si="131">STDEV(G78)</f>
        <v>#DIV/0!</v>
      </c>
      <c r="U124" t="e">
        <f t="shared" si="131"/>
        <v>#DIV/0!</v>
      </c>
      <c r="V124" t="e">
        <f t="shared" si="131"/>
        <v>#DIV/0!</v>
      </c>
      <c r="W124" t="e">
        <f t="shared" si="131"/>
        <v>#DIV/0!</v>
      </c>
      <c r="X124" t="e">
        <f t="shared" si="131"/>
        <v>#DIV/0!</v>
      </c>
      <c r="Y124" t="e">
        <f t="shared" si="131"/>
        <v>#DIV/0!</v>
      </c>
      <c r="Z124" t="e">
        <f t="shared" si="131"/>
        <v>#DIV/0!</v>
      </c>
      <c r="AA124" t="e">
        <f t="shared" si="131"/>
        <v>#DIV/0!</v>
      </c>
      <c r="AB124" t="e">
        <f t="shared" si="131"/>
        <v>#DIV/0!</v>
      </c>
      <c r="AC124" t="e">
        <f t="shared" si="131"/>
        <v>#DIV/0!</v>
      </c>
      <c r="AD124" t="e">
        <f t="shared" si="131"/>
        <v>#DIV/0!</v>
      </c>
      <c r="AE124" t="e">
        <f t="shared" si="131"/>
        <v>#DIV/0!</v>
      </c>
      <c r="AG124">
        <f t="shared" ref="AG124:AR124" si="132">COUNT(G78)</f>
        <v>1</v>
      </c>
      <c r="AH124">
        <f t="shared" si="132"/>
        <v>1</v>
      </c>
      <c r="AI124">
        <f t="shared" si="132"/>
        <v>1</v>
      </c>
      <c r="AJ124">
        <f t="shared" si="132"/>
        <v>0</v>
      </c>
      <c r="AK124">
        <f t="shared" si="132"/>
        <v>0</v>
      </c>
      <c r="AL124">
        <f t="shared" si="132"/>
        <v>0</v>
      </c>
      <c r="AM124">
        <f t="shared" si="132"/>
        <v>0</v>
      </c>
      <c r="AN124">
        <f t="shared" si="132"/>
        <v>0</v>
      </c>
      <c r="AO124">
        <f t="shared" si="132"/>
        <v>0</v>
      </c>
      <c r="AP124">
        <f t="shared" si="132"/>
        <v>1</v>
      </c>
      <c r="AQ124">
        <f t="shared" si="132"/>
        <v>1</v>
      </c>
      <c r="AR124">
        <f t="shared" si="132"/>
        <v>1</v>
      </c>
      <c r="AT124" s="169">
        <f t="shared" ref="AT124:BE124" si="133">G78</f>
        <v>41</v>
      </c>
      <c r="AU124" s="169">
        <f t="shared" si="133"/>
        <v>1</v>
      </c>
      <c r="AV124" s="169">
        <f t="shared" si="133"/>
        <v>3</v>
      </c>
      <c r="AW124" s="169" t="str">
        <f t="shared" si="133"/>
        <v/>
      </c>
      <c r="AX124" s="169" t="str">
        <f t="shared" si="133"/>
        <v/>
      </c>
      <c r="AY124" s="169" t="str">
        <f t="shared" si="133"/>
        <v/>
      </c>
      <c r="AZ124" s="169" t="str">
        <f t="shared" si="133"/>
        <v/>
      </c>
      <c r="BA124" s="169" t="str">
        <f t="shared" si="133"/>
        <v/>
      </c>
      <c r="BB124" s="169" t="str">
        <f t="shared" si="133"/>
        <v/>
      </c>
      <c r="BC124" s="169">
        <f t="shared" si="133"/>
        <v>1</v>
      </c>
      <c r="BD124" s="169">
        <f t="shared" si="133"/>
        <v>6</v>
      </c>
      <c r="BE124" s="169">
        <f t="shared" si="133"/>
        <v>3</v>
      </c>
      <c r="BF124" s="169"/>
      <c r="BG124" s="169">
        <f t="shared" ref="BG124:BR124" si="134">G78</f>
        <v>41</v>
      </c>
      <c r="BH124" s="169">
        <f t="shared" si="134"/>
        <v>1</v>
      </c>
      <c r="BI124" s="169">
        <f t="shared" si="134"/>
        <v>3</v>
      </c>
      <c r="BJ124" s="169" t="str">
        <f t="shared" si="134"/>
        <v/>
      </c>
      <c r="BK124" s="169" t="str">
        <f t="shared" si="134"/>
        <v/>
      </c>
      <c r="BL124" t="str">
        <f t="shared" si="134"/>
        <v/>
      </c>
      <c r="BM124" t="str">
        <f t="shared" si="134"/>
        <v/>
      </c>
      <c r="BN124" t="str">
        <f t="shared" si="134"/>
        <v/>
      </c>
      <c r="BO124" t="str">
        <f t="shared" si="134"/>
        <v/>
      </c>
      <c r="BP124">
        <f t="shared" si="134"/>
        <v>1</v>
      </c>
      <c r="BQ124">
        <f t="shared" si="134"/>
        <v>6</v>
      </c>
      <c r="BR124">
        <f t="shared" si="134"/>
        <v>3</v>
      </c>
      <c r="EB124" s="4"/>
      <c r="EC124" s="4"/>
      <c r="ED124" s="4"/>
      <c r="EE124" s="4"/>
      <c r="EF124" s="4"/>
      <c r="EG124" s="4"/>
      <c r="EH124" s="4"/>
      <c r="EI124" s="4"/>
      <c r="EJ124" s="4"/>
    </row>
    <row r="125" spans="2:140">
      <c r="B125" s="367"/>
      <c r="C125" t="s">
        <v>49</v>
      </c>
      <c r="D125" s="169"/>
      <c r="G125" s="169" t="str">
        <f>IF(ISNUMBER(AVERAGE(G65,G98,G105)),AVERAGE(G65,G98,G105),"")</f>
        <v/>
      </c>
      <c r="H125" s="169">
        <f t="shared" ref="H125:R125" si="135">IF(ISNUMBER(AVERAGE(H65,H98,H105)),AVERAGE(H65,H98,H105),"")</f>
        <v>29.333333333333332</v>
      </c>
      <c r="I125" s="169">
        <f t="shared" si="135"/>
        <v>29.666666666666668</v>
      </c>
      <c r="J125" s="169" t="str">
        <f t="shared" si="135"/>
        <v/>
      </c>
      <c r="K125" s="169" t="str">
        <f t="shared" si="135"/>
        <v/>
      </c>
      <c r="L125" s="169">
        <f t="shared" si="135"/>
        <v>0</v>
      </c>
      <c r="M125" s="169">
        <f t="shared" si="135"/>
        <v>80</v>
      </c>
      <c r="N125" s="169">
        <f t="shared" si="135"/>
        <v>86</v>
      </c>
      <c r="O125" s="169">
        <f t="shared" si="135"/>
        <v>41.5</v>
      </c>
      <c r="P125" s="169">
        <f t="shared" si="135"/>
        <v>88</v>
      </c>
      <c r="Q125" s="169">
        <f t="shared" si="135"/>
        <v>88</v>
      </c>
      <c r="R125" s="169">
        <f t="shared" si="135"/>
        <v>88</v>
      </c>
      <c r="T125" t="e">
        <f>STDEV(G65,G98,G105)</f>
        <v>#DIV/0!</v>
      </c>
      <c r="U125">
        <f t="shared" ref="U125:AE125" si="136">STDEV(H65,H98,H105)</f>
        <v>50.806823688687061</v>
      </c>
      <c r="V125">
        <f t="shared" si="136"/>
        <v>50.520622851795217</v>
      </c>
      <c r="W125" t="e">
        <f t="shared" si="136"/>
        <v>#DIV/0!</v>
      </c>
      <c r="X125" t="e">
        <f t="shared" si="136"/>
        <v>#DIV/0!</v>
      </c>
      <c r="Y125" t="e">
        <f t="shared" si="136"/>
        <v>#DIV/0!</v>
      </c>
      <c r="Z125" t="e">
        <f t="shared" si="136"/>
        <v>#DIV/0!</v>
      </c>
      <c r="AA125" t="e">
        <f t="shared" si="136"/>
        <v>#DIV/0!</v>
      </c>
      <c r="AB125">
        <f t="shared" si="136"/>
        <v>58.689862838483442</v>
      </c>
      <c r="AC125" t="e">
        <f t="shared" si="136"/>
        <v>#DIV/0!</v>
      </c>
      <c r="AD125" t="e">
        <f t="shared" si="136"/>
        <v>#DIV/0!</v>
      </c>
      <c r="AE125" t="e">
        <f t="shared" si="136"/>
        <v>#DIV/0!</v>
      </c>
      <c r="AG125">
        <f>COUNT(G65,G98,G105)</f>
        <v>0</v>
      </c>
      <c r="AH125">
        <f t="shared" ref="AH125:AR125" si="137">COUNT(H65,H98,H105)</f>
        <v>3</v>
      </c>
      <c r="AI125">
        <f t="shared" si="137"/>
        <v>3</v>
      </c>
      <c r="AJ125">
        <f t="shared" si="137"/>
        <v>0</v>
      </c>
      <c r="AK125">
        <f t="shared" si="137"/>
        <v>0</v>
      </c>
      <c r="AL125">
        <f t="shared" si="137"/>
        <v>1</v>
      </c>
      <c r="AM125">
        <f t="shared" si="137"/>
        <v>1</v>
      </c>
      <c r="AN125">
        <f t="shared" si="137"/>
        <v>1</v>
      </c>
      <c r="AO125">
        <f t="shared" si="137"/>
        <v>2</v>
      </c>
      <c r="AP125">
        <f t="shared" si="137"/>
        <v>1</v>
      </c>
      <c r="AQ125">
        <f t="shared" si="137"/>
        <v>1</v>
      </c>
      <c r="AR125">
        <f t="shared" si="137"/>
        <v>1</v>
      </c>
      <c r="AT125" s="169">
        <f>MIN(G65,G98,G105)</f>
        <v>0</v>
      </c>
      <c r="AU125" s="169">
        <f t="shared" ref="AU125:AX125" si="138">MIN(H65,H98,H105)</f>
        <v>0</v>
      </c>
      <c r="AV125" s="169">
        <f t="shared" si="138"/>
        <v>0</v>
      </c>
      <c r="AW125" s="169">
        <f t="shared" si="138"/>
        <v>0</v>
      </c>
      <c r="AX125" s="169">
        <f t="shared" si="138"/>
        <v>0</v>
      </c>
      <c r="AY125" s="169">
        <f t="shared" ref="AY125:BE125" si="139">MIN(L65)</f>
        <v>0</v>
      </c>
      <c r="AZ125" s="169">
        <f t="shared" si="139"/>
        <v>80</v>
      </c>
      <c r="BA125" s="169">
        <f t="shared" si="139"/>
        <v>86</v>
      </c>
      <c r="BB125" s="169">
        <f t="shared" si="139"/>
        <v>83</v>
      </c>
      <c r="BC125" s="169">
        <f t="shared" si="139"/>
        <v>88</v>
      </c>
      <c r="BD125" s="169">
        <f t="shared" si="139"/>
        <v>88</v>
      </c>
      <c r="BE125" s="169">
        <f t="shared" si="139"/>
        <v>88</v>
      </c>
      <c r="BF125" s="169"/>
      <c r="BG125" s="169">
        <f t="shared" ref="BG125:BR125" si="140">MAX(G65)</f>
        <v>0</v>
      </c>
      <c r="BH125" s="169">
        <f t="shared" si="140"/>
        <v>88</v>
      </c>
      <c r="BI125" s="169">
        <f t="shared" si="140"/>
        <v>88</v>
      </c>
      <c r="BJ125" s="169">
        <f t="shared" si="140"/>
        <v>0</v>
      </c>
      <c r="BK125" s="169">
        <f t="shared" si="140"/>
        <v>0</v>
      </c>
      <c r="BL125">
        <f t="shared" si="140"/>
        <v>0</v>
      </c>
      <c r="BM125">
        <f t="shared" si="140"/>
        <v>80</v>
      </c>
      <c r="BN125">
        <f t="shared" si="140"/>
        <v>86</v>
      </c>
      <c r="BO125">
        <f t="shared" si="140"/>
        <v>83</v>
      </c>
      <c r="BP125">
        <f t="shared" si="140"/>
        <v>88</v>
      </c>
      <c r="BQ125">
        <f t="shared" si="140"/>
        <v>88</v>
      </c>
      <c r="BR125">
        <f t="shared" si="140"/>
        <v>88</v>
      </c>
      <c r="EB125" s="4"/>
      <c r="EC125" s="4"/>
      <c r="ED125" s="4"/>
      <c r="EE125" s="4"/>
      <c r="EF125" s="4"/>
      <c r="EG125" s="4"/>
      <c r="EH125" s="4"/>
      <c r="EI125" s="4"/>
      <c r="EJ125" s="4"/>
    </row>
    <row r="126" spans="2:140">
      <c r="B126" s="367"/>
      <c r="C126" t="s">
        <v>173</v>
      </c>
      <c r="D126" s="169"/>
      <c r="G126">
        <f>IF(ISNUMBER(AVERAGE(G60:G64)),AVERAGE(G60:G64),"")</f>
        <v>0</v>
      </c>
      <c r="H126">
        <f t="shared" ref="H126:R126" si="141">IF(ISNUMBER(AVERAGE(H60:H64)),AVERAGE(H60:H64),"")</f>
        <v>19.2</v>
      </c>
      <c r="I126">
        <f t="shared" si="141"/>
        <v>19.2</v>
      </c>
      <c r="J126">
        <f t="shared" si="141"/>
        <v>10.5</v>
      </c>
      <c r="K126">
        <f t="shared" si="141"/>
        <v>17.5</v>
      </c>
      <c r="L126">
        <f t="shared" si="141"/>
        <v>10.25</v>
      </c>
      <c r="M126">
        <f t="shared" si="141"/>
        <v>30</v>
      </c>
      <c r="N126">
        <f t="shared" si="141"/>
        <v>50.5</v>
      </c>
      <c r="O126">
        <f t="shared" si="141"/>
        <v>30.25</v>
      </c>
      <c r="P126">
        <f t="shared" si="141"/>
        <v>23.75</v>
      </c>
      <c r="Q126">
        <f t="shared" si="141"/>
        <v>31</v>
      </c>
      <c r="R126">
        <f t="shared" si="141"/>
        <v>23.75</v>
      </c>
      <c r="T126" t="e">
        <f t="shared" ref="T126:AE126" si="142">STDEV(G60:G64)</f>
        <v>#DIV/0!</v>
      </c>
      <c r="U126">
        <f t="shared" si="142"/>
        <v>33.544000953970894</v>
      </c>
      <c r="V126">
        <f t="shared" si="142"/>
        <v>33.544000953970894</v>
      </c>
      <c r="W126">
        <f t="shared" si="142"/>
        <v>16.360521589077369</v>
      </c>
      <c r="X126">
        <f t="shared" si="142"/>
        <v>12.020815280171307</v>
      </c>
      <c r="Y126">
        <f t="shared" si="142"/>
        <v>15.861378670636842</v>
      </c>
      <c r="Z126">
        <f t="shared" si="142"/>
        <v>34.813790371058424</v>
      </c>
      <c r="AA126">
        <f t="shared" si="142"/>
        <v>55.861435713737258</v>
      </c>
      <c r="AB126">
        <f t="shared" si="142"/>
        <v>34.731109973624513</v>
      </c>
      <c r="AC126">
        <f t="shared" si="142"/>
        <v>36.908671067921155</v>
      </c>
      <c r="AD126">
        <f t="shared" si="142"/>
        <v>37.242448899072144</v>
      </c>
      <c r="AE126">
        <f t="shared" si="142"/>
        <v>36.908671067921155</v>
      </c>
      <c r="AG126">
        <f t="shared" ref="AG126:AR126" si="143">COUNT(G60:G64)</f>
        <v>1</v>
      </c>
      <c r="AH126">
        <f t="shared" si="143"/>
        <v>5</v>
      </c>
      <c r="AI126">
        <f t="shared" si="143"/>
        <v>5</v>
      </c>
      <c r="AJ126">
        <f t="shared" si="143"/>
        <v>4</v>
      </c>
      <c r="AK126">
        <f t="shared" si="143"/>
        <v>2</v>
      </c>
      <c r="AL126">
        <f t="shared" si="143"/>
        <v>4</v>
      </c>
      <c r="AM126">
        <f t="shared" si="143"/>
        <v>4</v>
      </c>
      <c r="AN126">
        <f t="shared" si="143"/>
        <v>2</v>
      </c>
      <c r="AO126">
        <f t="shared" si="143"/>
        <v>4</v>
      </c>
      <c r="AP126">
        <f t="shared" si="143"/>
        <v>4</v>
      </c>
      <c r="AQ126">
        <f t="shared" si="143"/>
        <v>3</v>
      </c>
      <c r="AR126">
        <f t="shared" si="143"/>
        <v>4</v>
      </c>
      <c r="AT126" s="169">
        <f t="shared" ref="AT126:BE126" si="144">MIN(G60:G64)</f>
        <v>0</v>
      </c>
      <c r="AU126" s="169">
        <f t="shared" si="144"/>
        <v>1</v>
      </c>
      <c r="AV126" s="169">
        <f t="shared" si="144"/>
        <v>1</v>
      </c>
      <c r="AW126" s="169">
        <f t="shared" si="144"/>
        <v>1</v>
      </c>
      <c r="AX126" s="169">
        <f t="shared" si="144"/>
        <v>9</v>
      </c>
      <c r="AY126" s="169">
        <f t="shared" si="144"/>
        <v>1</v>
      </c>
      <c r="AZ126" s="169">
        <f t="shared" si="144"/>
        <v>3</v>
      </c>
      <c r="BA126" s="169">
        <f t="shared" si="144"/>
        <v>11</v>
      </c>
      <c r="BB126" s="169">
        <f t="shared" si="144"/>
        <v>3</v>
      </c>
      <c r="BC126" s="169">
        <f t="shared" si="144"/>
        <v>2</v>
      </c>
      <c r="BD126" s="169">
        <f t="shared" si="144"/>
        <v>9</v>
      </c>
      <c r="BE126" s="169">
        <f t="shared" si="144"/>
        <v>2</v>
      </c>
      <c r="BF126" s="169"/>
      <c r="BG126" s="169">
        <f t="shared" ref="BG126:BR126" si="145">MAX(G60:G64)</f>
        <v>0</v>
      </c>
      <c r="BH126" s="169">
        <f t="shared" si="145"/>
        <v>79</v>
      </c>
      <c r="BI126" s="169">
        <f t="shared" si="145"/>
        <v>79</v>
      </c>
      <c r="BJ126" s="169">
        <f t="shared" si="145"/>
        <v>35</v>
      </c>
      <c r="BK126" s="169">
        <f t="shared" si="145"/>
        <v>26</v>
      </c>
      <c r="BL126">
        <f t="shared" si="145"/>
        <v>34</v>
      </c>
      <c r="BM126">
        <f t="shared" si="145"/>
        <v>81</v>
      </c>
      <c r="BN126">
        <f t="shared" si="145"/>
        <v>90</v>
      </c>
      <c r="BO126">
        <f t="shared" si="145"/>
        <v>81</v>
      </c>
      <c r="BP126">
        <f t="shared" si="145"/>
        <v>79</v>
      </c>
      <c r="BQ126">
        <f t="shared" si="145"/>
        <v>74</v>
      </c>
      <c r="BR126">
        <f t="shared" si="145"/>
        <v>79</v>
      </c>
      <c r="EB126" s="4"/>
      <c r="EC126" s="4"/>
      <c r="ED126" s="4"/>
      <c r="EE126" s="4"/>
      <c r="EF126" s="4"/>
      <c r="EG126" s="4"/>
      <c r="EH126" s="4"/>
      <c r="EI126" s="4"/>
      <c r="EJ126" s="4"/>
    </row>
    <row r="127" spans="2:140" s="169" customFormat="1">
      <c r="B127" s="366"/>
      <c r="C127" s="169" t="s">
        <v>182</v>
      </c>
      <c r="G127" s="169">
        <f>IF(ISNUMBER(AVERAGE(G66:G68,G85)),AVERAGE(G66:G68,G85),"")</f>
        <v>32</v>
      </c>
      <c r="H127" s="169">
        <f t="shared" ref="H127:R127" si="146">IF(ISNUMBER(AVERAGE(H66:H68,H85)),AVERAGE(H66:H68,H85),"")</f>
        <v>13</v>
      </c>
      <c r="I127" s="169">
        <f t="shared" si="146"/>
        <v>13.5</v>
      </c>
      <c r="J127" s="169">
        <f t="shared" si="146"/>
        <v>9</v>
      </c>
      <c r="K127" s="169">
        <f t="shared" si="146"/>
        <v>8</v>
      </c>
      <c r="L127" s="169">
        <f t="shared" si="146"/>
        <v>9</v>
      </c>
      <c r="M127" s="169">
        <f t="shared" si="146"/>
        <v>26.5</v>
      </c>
      <c r="N127" s="169">
        <f t="shared" si="146"/>
        <v>49</v>
      </c>
      <c r="O127" s="169">
        <f t="shared" si="146"/>
        <v>29.25</v>
      </c>
      <c r="P127" s="169">
        <f t="shared" si="146"/>
        <v>12.5</v>
      </c>
      <c r="Q127" s="169">
        <f t="shared" si="146"/>
        <v>47</v>
      </c>
      <c r="R127" s="169">
        <f t="shared" si="146"/>
        <v>13.25</v>
      </c>
      <c r="S127" s="332"/>
      <c r="T127" s="169" t="e">
        <f>STDEV(G66:G68,G85)</f>
        <v>#DIV/0!</v>
      </c>
      <c r="U127" s="169">
        <f t="shared" ref="U127:AE127" si="147">STDEV(H66:H68,H85)</f>
        <v>9.9331096171675597</v>
      </c>
      <c r="V127" s="169">
        <f t="shared" si="147"/>
        <v>9.7467943448089631</v>
      </c>
      <c r="W127" s="169">
        <f t="shared" si="147"/>
        <v>11.633285577743433</v>
      </c>
      <c r="X127" s="169" t="e">
        <f t="shared" si="147"/>
        <v>#DIV/0!</v>
      </c>
      <c r="Y127" s="169">
        <f t="shared" si="147"/>
        <v>11.633285577743433</v>
      </c>
      <c r="Z127" s="169">
        <f t="shared" si="147"/>
        <v>7.9372539331937721</v>
      </c>
      <c r="AA127" s="169">
        <f t="shared" si="147"/>
        <v>48.083261120685229</v>
      </c>
      <c r="AB127" s="169">
        <f t="shared" si="147"/>
        <v>10.812801055539063</v>
      </c>
      <c r="AC127" s="169">
        <f t="shared" si="147"/>
        <v>10.503967504392486</v>
      </c>
      <c r="AD127" s="169">
        <f t="shared" si="147"/>
        <v>50.911688245431421</v>
      </c>
      <c r="AE127" s="169">
        <f t="shared" si="147"/>
        <v>10.275375094532235</v>
      </c>
      <c r="AF127" s="4"/>
      <c r="AG127" s="169">
        <f>COUNT(G66:G68,G85)</f>
        <v>1</v>
      </c>
      <c r="AH127" s="169">
        <f t="shared" ref="AH127:AR127" si="148">COUNT(H66:H68,H85)</f>
        <v>4</v>
      </c>
      <c r="AI127" s="169">
        <f t="shared" si="148"/>
        <v>4</v>
      </c>
      <c r="AJ127" s="169">
        <f t="shared" si="148"/>
        <v>4</v>
      </c>
      <c r="AK127" s="169">
        <f t="shared" si="148"/>
        <v>1</v>
      </c>
      <c r="AL127" s="169">
        <f t="shared" si="148"/>
        <v>4</v>
      </c>
      <c r="AM127" s="169">
        <f t="shared" si="148"/>
        <v>4</v>
      </c>
      <c r="AN127" s="169">
        <f t="shared" si="148"/>
        <v>2</v>
      </c>
      <c r="AO127" s="169">
        <f t="shared" si="148"/>
        <v>4</v>
      </c>
      <c r="AP127" s="169">
        <f t="shared" si="148"/>
        <v>4</v>
      </c>
      <c r="AQ127" s="169">
        <f t="shared" si="148"/>
        <v>2</v>
      </c>
      <c r="AR127" s="169">
        <f t="shared" si="148"/>
        <v>4</v>
      </c>
      <c r="AS127" s="4"/>
      <c r="AT127" s="169">
        <f>MIN(G66:G68,G85)</f>
        <v>32</v>
      </c>
      <c r="AU127" s="169">
        <f t="shared" ref="AU127:AX127" si="149">MIN(H66:H68,H85)</f>
        <v>5</v>
      </c>
      <c r="AV127" s="169">
        <f t="shared" si="149"/>
        <v>5</v>
      </c>
      <c r="AW127" s="169">
        <f t="shared" si="149"/>
        <v>1</v>
      </c>
      <c r="AX127" s="169">
        <f t="shared" si="149"/>
        <v>8</v>
      </c>
      <c r="AY127" s="169">
        <f t="shared" ref="AY127:BE127" si="150">MIN(L70:L71,L66:L68,L85)</f>
        <v>1</v>
      </c>
      <c r="AZ127" s="169">
        <f t="shared" si="150"/>
        <v>18</v>
      </c>
      <c r="BA127" s="169">
        <f t="shared" si="150"/>
        <v>15</v>
      </c>
      <c r="BB127" s="169">
        <f t="shared" si="150"/>
        <v>1</v>
      </c>
      <c r="BC127" s="169">
        <f t="shared" si="150"/>
        <v>3</v>
      </c>
      <c r="BD127" s="169">
        <f t="shared" si="150"/>
        <v>11</v>
      </c>
      <c r="BE127" s="169">
        <f t="shared" si="150"/>
        <v>1</v>
      </c>
      <c r="BG127" s="169">
        <f t="shared" ref="BG127:BR127" si="151">MAX(G70:G71,G66:G68,G85)</f>
        <v>32</v>
      </c>
      <c r="BH127" s="169">
        <f t="shared" si="151"/>
        <v>27</v>
      </c>
      <c r="BI127" s="169">
        <f t="shared" si="151"/>
        <v>27</v>
      </c>
      <c r="BJ127" s="169">
        <f t="shared" si="151"/>
        <v>26</v>
      </c>
      <c r="BK127" s="169">
        <f t="shared" si="151"/>
        <v>8</v>
      </c>
      <c r="BL127">
        <f t="shared" si="151"/>
        <v>26</v>
      </c>
      <c r="BM127">
        <f t="shared" si="151"/>
        <v>37</v>
      </c>
      <c r="BN127">
        <f t="shared" si="151"/>
        <v>83</v>
      </c>
      <c r="BO127">
        <f t="shared" si="151"/>
        <v>44</v>
      </c>
      <c r="BP127">
        <f t="shared" si="151"/>
        <v>27</v>
      </c>
      <c r="BQ127">
        <f t="shared" si="151"/>
        <v>83</v>
      </c>
      <c r="BR127">
        <f t="shared" si="151"/>
        <v>27</v>
      </c>
      <c r="BS127" s="4"/>
      <c r="BT127" s="4"/>
      <c r="BU127" s="4"/>
      <c r="BV127" s="4"/>
      <c r="BW127" s="4"/>
      <c r="BX127" s="4"/>
      <c r="BY127" s="4"/>
      <c r="BZ127" s="4"/>
      <c r="CA127" s="4"/>
      <c r="CB127" s="4"/>
      <c r="CC127" s="4"/>
      <c r="CD127" s="4"/>
      <c r="CE127" s="4"/>
      <c r="CF127" s="4"/>
      <c r="CG127" s="4"/>
      <c r="CH127" s="4"/>
      <c r="CI127" s="4"/>
      <c r="CJ127" s="4"/>
      <c r="CK127" s="4"/>
      <c r="CL127" s="4"/>
      <c r="CM127" s="4"/>
      <c r="CN127" s="4"/>
      <c r="CO127" s="4"/>
      <c r="CP127" s="4"/>
      <c r="CQ127" s="4"/>
      <c r="CR127" s="4"/>
      <c r="CS127" s="4"/>
      <c r="CT127" s="4"/>
      <c r="CU127" s="4"/>
      <c r="CV127" s="4"/>
      <c r="CW127" s="4"/>
      <c r="CX127" s="4"/>
      <c r="CY127" s="4"/>
      <c r="CZ127" s="4"/>
      <c r="DA127" s="4"/>
      <c r="DB127" s="4"/>
      <c r="DC127" s="4"/>
      <c r="DD127" s="4"/>
      <c r="DE127" s="4"/>
      <c r="DF127" s="4"/>
      <c r="DG127" s="4"/>
      <c r="DH127" s="4"/>
      <c r="DI127" s="4"/>
      <c r="DJ127" s="4"/>
      <c r="DK127" s="4"/>
      <c r="DL127" s="4"/>
      <c r="DM127" s="4"/>
      <c r="DN127" s="4"/>
      <c r="DO127" s="4"/>
      <c r="DP127" s="4"/>
      <c r="DQ127" s="4"/>
      <c r="DR127" s="4"/>
      <c r="DS127" s="4"/>
      <c r="DT127" s="4"/>
      <c r="DU127" s="4"/>
      <c r="DV127" s="4"/>
      <c r="DW127" s="4"/>
      <c r="DX127" s="4"/>
      <c r="DY127" s="4"/>
      <c r="DZ127" s="4"/>
      <c r="EA127" s="4"/>
      <c r="EB127" s="4"/>
      <c r="EC127" s="4"/>
      <c r="ED127" s="4"/>
      <c r="EE127" s="4"/>
      <c r="EF127" s="4"/>
      <c r="EG127" s="4"/>
      <c r="EH127" s="4"/>
      <c r="EI127" s="4"/>
      <c r="EJ127" s="4"/>
    </row>
    <row r="128" spans="2:140" s="169" customFormat="1">
      <c r="B128" s="366"/>
      <c r="C128" s="169" t="s">
        <v>219</v>
      </c>
      <c r="G128" s="169">
        <f>IF(ISNUMBER(AVERAGE(G69,G84)),(AVERAGE(G69,G84)),"")</f>
        <v>0</v>
      </c>
      <c r="H128" s="169">
        <f t="shared" ref="H128:R128" si="152">IF(ISNUMBER(AVERAGE(H69,H84)),(AVERAGE(H69,H84)),"")</f>
        <v>0</v>
      </c>
      <c r="I128" s="169">
        <f t="shared" si="152"/>
        <v>0</v>
      </c>
      <c r="J128" s="169">
        <f t="shared" si="152"/>
        <v>0</v>
      </c>
      <c r="K128" s="169">
        <f t="shared" si="152"/>
        <v>0</v>
      </c>
      <c r="L128" s="169">
        <f t="shared" si="152"/>
        <v>0</v>
      </c>
      <c r="M128" s="169">
        <f t="shared" si="152"/>
        <v>0</v>
      </c>
      <c r="N128" s="169">
        <f t="shared" si="152"/>
        <v>0</v>
      </c>
      <c r="O128" s="169">
        <f t="shared" si="152"/>
        <v>0</v>
      </c>
      <c r="P128" s="169">
        <f t="shared" si="152"/>
        <v>0</v>
      </c>
      <c r="Q128" s="169">
        <f t="shared" si="152"/>
        <v>0</v>
      </c>
      <c r="R128" s="169">
        <f t="shared" si="152"/>
        <v>0</v>
      </c>
      <c r="S128" s="332"/>
      <c r="T128" s="169">
        <f t="shared" ref="T128:AE128" si="153">STDEV(G69,G84)</f>
        <v>0</v>
      </c>
      <c r="U128" s="169">
        <f t="shared" si="153"/>
        <v>0</v>
      </c>
      <c r="V128" s="169">
        <f t="shared" si="153"/>
        <v>0</v>
      </c>
      <c r="W128" s="169" t="e">
        <f t="shared" si="153"/>
        <v>#DIV/0!</v>
      </c>
      <c r="X128" s="169" t="e">
        <f t="shared" si="153"/>
        <v>#DIV/0!</v>
      </c>
      <c r="Y128" s="169" t="e">
        <f t="shared" si="153"/>
        <v>#DIV/0!</v>
      </c>
      <c r="Z128" s="169" t="e">
        <f t="shared" si="153"/>
        <v>#DIV/0!</v>
      </c>
      <c r="AA128" s="169">
        <f t="shared" si="153"/>
        <v>0</v>
      </c>
      <c r="AB128" s="169">
        <f t="shared" si="153"/>
        <v>0</v>
      </c>
      <c r="AC128" s="169">
        <f t="shared" si="153"/>
        <v>0</v>
      </c>
      <c r="AD128" s="169">
        <f t="shared" si="153"/>
        <v>0</v>
      </c>
      <c r="AE128" s="169">
        <f t="shared" si="153"/>
        <v>0</v>
      </c>
      <c r="AF128" s="4"/>
      <c r="AG128" s="169">
        <f t="shared" ref="AG128:AR128" si="154">COUNT(G69,G84)</f>
        <v>2</v>
      </c>
      <c r="AH128" s="169">
        <f t="shared" si="154"/>
        <v>2</v>
      </c>
      <c r="AI128" s="169">
        <f t="shared" si="154"/>
        <v>2</v>
      </c>
      <c r="AJ128" s="169">
        <f t="shared" si="154"/>
        <v>1</v>
      </c>
      <c r="AK128" s="169">
        <f t="shared" si="154"/>
        <v>1</v>
      </c>
      <c r="AL128" s="169">
        <f t="shared" si="154"/>
        <v>1</v>
      </c>
      <c r="AM128" s="169">
        <f t="shared" si="154"/>
        <v>1</v>
      </c>
      <c r="AN128" s="169">
        <f t="shared" si="154"/>
        <v>2</v>
      </c>
      <c r="AO128" s="169">
        <f t="shared" si="154"/>
        <v>2</v>
      </c>
      <c r="AP128" s="169">
        <f t="shared" si="154"/>
        <v>2</v>
      </c>
      <c r="AQ128" s="169">
        <f t="shared" si="154"/>
        <v>2</v>
      </c>
      <c r="AR128" s="169">
        <f t="shared" si="154"/>
        <v>2</v>
      </c>
      <c r="AS128" s="4"/>
      <c r="AT128" s="169">
        <f t="shared" ref="AT128:BE128" si="155">MIN(G69,G84)</f>
        <v>0</v>
      </c>
      <c r="AU128" s="169">
        <f t="shared" si="155"/>
        <v>0</v>
      </c>
      <c r="AV128" s="169">
        <f t="shared" si="155"/>
        <v>0</v>
      </c>
      <c r="AW128" s="169">
        <f t="shared" si="155"/>
        <v>0</v>
      </c>
      <c r="AX128" s="169">
        <f t="shared" si="155"/>
        <v>0</v>
      </c>
      <c r="AY128" s="169">
        <f t="shared" si="155"/>
        <v>0</v>
      </c>
      <c r="AZ128" s="169">
        <f t="shared" si="155"/>
        <v>0</v>
      </c>
      <c r="BA128" s="169">
        <f t="shared" si="155"/>
        <v>0</v>
      </c>
      <c r="BB128" s="169">
        <f t="shared" si="155"/>
        <v>0</v>
      </c>
      <c r="BC128" s="169">
        <f t="shared" si="155"/>
        <v>0</v>
      </c>
      <c r="BD128" s="169">
        <f t="shared" si="155"/>
        <v>0</v>
      </c>
      <c r="BE128" s="169">
        <f t="shared" si="155"/>
        <v>0</v>
      </c>
      <c r="BG128" s="169">
        <f t="shared" ref="BG128:BR128" si="156">MAX(G69,G84)</f>
        <v>0</v>
      </c>
      <c r="BH128" s="169">
        <f t="shared" si="156"/>
        <v>0</v>
      </c>
      <c r="BI128" s="169">
        <f t="shared" si="156"/>
        <v>0</v>
      </c>
      <c r="BJ128" s="169">
        <f t="shared" si="156"/>
        <v>0</v>
      </c>
      <c r="BK128" s="169">
        <f t="shared" si="156"/>
        <v>0</v>
      </c>
      <c r="BL128">
        <f t="shared" si="156"/>
        <v>0</v>
      </c>
      <c r="BM128">
        <f t="shared" si="156"/>
        <v>0</v>
      </c>
      <c r="BN128">
        <f t="shared" si="156"/>
        <v>0</v>
      </c>
      <c r="BO128">
        <f t="shared" si="156"/>
        <v>0</v>
      </c>
      <c r="BP128">
        <f t="shared" si="156"/>
        <v>0</v>
      </c>
      <c r="BQ128">
        <f t="shared" si="156"/>
        <v>0</v>
      </c>
      <c r="BR128">
        <f t="shared" si="156"/>
        <v>0</v>
      </c>
      <c r="BS128" s="4"/>
      <c r="BT128" s="4"/>
      <c r="BU128" s="4"/>
      <c r="BV128" s="4"/>
      <c r="BW128" s="4"/>
      <c r="BX128" s="4"/>
      <c r="BY128" s="4"/>
      <c r="BZ128" s="4"/>
      <c r="CA128" s="4"/>
      <c r="CB128" s="4"/>
      <c r="CC128" s="4"/>
      <c r="CD128" s="4"/>
      <c r="CE128" s="4"/>
      <c r="CF128" s="4"/>
      <c r="CG128" s="4"/>
      <c r="CH128" s="4"/>
      <c r="CI128" s="4"/>
      <c r="CJ128" s="4"/>
      <c r="CK128" s="4"/>
      <c r="CL128" s="4"/>
      <c r="CM128" s="4"/>
      <c r="CN128" s="4"/>
      <c r="CO128" s="4"/>
      <c r="CP128" s="4"/>
      <c r="CQ128" s="4"/>
      <c r="CR128" s="4"/>
      <c r="CS128" s="4"/>
      <c r="CT128" s="4"/>
      <c r="CU128" s="4"/>
      <c r="CV128" s="4"/>
      <c r="CW128" s="4"/>
      <c r="CX128" s="4"/>
      <c r="CY128" s="4"/>
      <c r="CZ128" s="4"/>
      <c r="DA128" s="4"/>
      <c r="DB128" s="4"/>
      <c r="DC128" s="4"/>
      <c r="DD128" s="4"/>
      <c r="DE128" s="4"/>
      <c r="DF128" s="4"/>
      <c r="DG128" s="4"/>
      <c r="DH128" s="4"/>
      <c r="DI128" s="4"/>
      <c r="DJ128" s="4"/>
      <c r="DK128" s="4"/>
      <c r="DL128" s="4"/>
      <c r="DM128" s="4"/>
      <c r="DN128" s="4"/>
      <c r="DO128" s="4"/>
      <c r="DP128" s="4"/>
      <c r="DQ128" s="4"/>
      <c r="DR128" s="4"/>
      <c r="DS128" s="4"/>
      <c r="DT128" s="4"/>
      <c r="DU128" s="4"/>
      <c r="DV128" s="4"/>
      <c r="DW128" s="4"/>
      <c r="DX128" s="4"/>
      <c r="DY128" s="4"/>
      <c r="DZ128" s="4"/>
      <c r="EA128" s="4"/>
      <c r="EB128" s="4"/>
      <c r="EC128" s="4"/>
      <c r="ED128" s="4"/>
      <c r="EE128" s="4"/>
      <c r="EF128" s="4"/>
      <c r="EG128" s="4"/>
      <c r="EH128" s="4"/>
      <c r="EI128" s="4"/>
      <c r="EJ128" s="4"/>
    </row>
    <row r="129" spans="2:140" ht="25.5">
      <c r="C129" s="449" t="s">
        <v>411</v>
      </c>
      <c r="G129">
        <f>IF(ISNUMBER(AVERAGE(G70:G71,G99,G102,G104,G107)),AVERAGE(G70:G71,G99,G102,G104,G107),"")</f>
        <v>12.666666666666666</v>
      </c>
      <c r="H129">
        <f>IF(ISNUMBER(AVERAGE(H70:H71,H99,H102,H104,H107)),AVERAGE(H70:H71,H99,H102,H104,H107),"")</f>
        <v>5.2</v>
      </c>
      <c r="I129">
        <f>IF(ISNUMBER(AVERAGE(I70:I71,I99,I102,I104,I107)),AVERAGE(I70:I71,I99,I102,I104,I107),"")</f>
        <v>5</v>
      </c>
      <c r="J129" t="str">
        <f>IF(ISNUMBER(AVERAGE(J70:J71,J99,J102,J104,J107)),AVERAGE(J70:J71,J99,J102,J104,J107),"")</f>
        <v/>
      </c>
      <c r="K129" t="str">
        <f>IF(ISNUMBER(AVERAGE(K70:K71,K99,K102,K104,K107)),AVERAGE(K70:K71,K99,K102,K104,K107),"")</f>
        <v/>
      </c>
      <c r="L129">
        <f>IF(ISNUMBER(AVERAGE(L70:L71,L99,L102,L104,L107)),AVERAGE(L70:L71,L99,L102,L104,L107),"")</f>
        <v>2.5</v>
      </c>
      <c r="M129" t="str">
        <f>IF(ISNUMBER(AVERAGE(M70:M71,M99,M102,M104,M107)),AVERAGE(M70:M71,M99,M102,M104,M107),"")</f>
        <v/>
      </c>
      <c r="N129" t="str">
        <f>IF(ISNUMBER(AVERAGE(N70:N71,N99,N102,N104,N107)),AVERAGE(N70:N71,N99,N102,N104,N107),"")</f>
        <v/>
      </c>
      <c r="O129">
        <f>IF(ISNUMBER(AVERAGE(O70:O71,O99,O102,O104,O107)),AVERAGE(O70:O71,O99,O102,O104,O107),"")</f>
        <v>3</v>
      </c>
      <c r="P129" t="str">
        <f>IF(ISNUMBER(AVERAGE(P70:P71,P99,P102,P104,P107)),AVERAGE(P70:P71,P99,P102,P104,P107),"")</f>
        <v/>
      </c>
      <c r="Q129" t="str">
        <f>IF(ISNUMBER(AVERAGE(Q70:Q71,Q99,Q102,Q104,Q107)),AVERAGE(Q70:Q71,Q99,Q102,Q104,Q107),"")</f>
        <v/>
      </c>
      <c r="R129">
        <f>IF(ISNUMBER(AVERAGE(R70:R71,R99,R102,R104,R107)),AVERAGE(R70:R71,R99,R102,R104,R107),"")</f>
        <v>3</v>
      </c>
      <c r="S129"/>
      <c r="T129">
        <f>STDEV(G70:G71,G99,G102,G104,G107)</f>
        <v>17.7857620959388</v>
      </c>
      <c r="U129">
        <f>STDEV(H70:H71,H99,H102,H104,H107)</f>
        <v>7.8549347546621924</v>
      </c>
      <c r="V129">
        <f>STDEV(I70:I71,I99,I102,I104,I107)</f>
        <v>7.9686887252546139</v>
      </c>
      <c r="W129" t="e">
        <f>STDEV(J70:J71,J99,J102,J104,J107)</f>
        <v>#DIV/0!</v>
      </c>
      <c r="X129" t="e">
        <f>STDEV(K70:K71,K99,K102,K104,K107)</f>
        <v>#DIV/0!</v>
      </c>
      <c r="Y129">
        <f>STDEV(L70:L71,L99,L102,L104,L107)</f>
        <v>2.1213203435596424</v>
      </c>
      <c r="Z129" t="e">
        <f>STDEV(M70:M71,M99,M102,M104,M107)</f>
        <v>#DIV/0!</v>
      </c>
      <c r="AA129" t="e">
        <f>STDEV(N70:N71,N99,N102,N104,N107)</f>
        <v>#DIV/0!</v>
      </c>
      <c r="AB129">
        <f>STDEV(O70:O71,O99,O102,O104,O107)</f>
        <v>2.8284271247461903</v>
      </c>
      <c r="AC129" t="e">
        <f>STDEV(P70:P71,P99,P102,P104,P107)</f>
        <v>#DIV/0!</v>
      </c>
      <c r="AD129" t="e">
        <f>STDEV(Q70:Q71,Q99,Q102,Q104,Q107)</f>
        <v>#DIV/0!</v>
      </c>
      <c r="AE129">
        <f>STDEV(R70:R71,R99,R102,R104,R107)</f>
        <v>2.8284271247461903</v>
      </c>
      <c r="AG129" s="4">
        <f>COUNT(G70:G71,G99,G102,G104,G107)</f>
        <v>3</v>
      </c>
      <c r="AH129" s="4">
        <f>COUNT(H70:H71,H99,H102,H104,H107)</f>
        <v>5</v>
      </c>
      <c r="AI129" s="4">
        <f>COUNT(I70:I71,I99,I102,I104,I107)</f>
        <v>5</v>
      </c>
      <c r="AJ129" s="4">
        <f>COUNT(J70:J71,J99,J102,J104,J107)</f>
        <v>0</v>
      </c>
      <c r="AK129" s="4">
        <f>COUNT(K70:K71,K99,K102,K104,K107)</f>
        <v>0</v>
      </c>
      <c r="AL129" s="4">
        <f>COUNT(L70:L71,L99,L102,L104,L107)</f>
        <v>2</v>
      </c>
      <c r="AM129" s="4">
        <f>COUNT(M70:M71,M99,M102,M104,M107)</f>
        <v>0</v>
      </c>
      <c r="AN129" s="4">
        <f>COUNT(N70:N71,N99,N102,N104,N107)</f>
        <v>0</v>
      </c>
      <c r="AO129" s="4">
        <f>COUNT(O70:O71,O99,O102,O104,O107)</f>
        <v>2</v>
      </c>
      <c r="AP129" s="4">
        <f>COUNT(P70:P71,P99,P102,P104,P107)</f>
        <v>0</v>
      </c>
      <c r="AQ129" s="4">
        <f>COUNT(Q70:Q71,Q99,Q102,Q104,Q107)</f>
        <v>0</v>
      </c>
      <c r="AR129" s="4">
        <f>COUNT(R70:R71,R99,R102,R104,R107)</f>
        <v>2</v>
      </c>
      <c r="AT129" s="4">
        <f>MIN(G70:G71,G99,G102,G104,G107)</f>
        <v>0</v>
      </c>
      <c r="AU129" s="4">
        <f>MIN(H70:H71,H99,H102,H104,H107)</f>
        <v>0</v>
      </c>
      <c r="AV129" s="4">
        <f>MIN(I70:I71,I99,I102,I104,I107)</f>
        <v>0</v>
      </c>
      <c r="AW129" s="4">
        <f>MIN(J70:J71,J99,J102,J104,J107)</f>
        <v>0</v>
      </c>
      <c r="AX129" s="4">
        <f>MIN(K70:K71,K99,K102,K104,K107)</f>
        <v>0</v>
      </c>
    </row>
    <row r="130" spans="2:140">
      <c r="B130" s="367"/>
      <c r="C130" t="str">
        <f>C72</f>
        <v>Open schroefpomp</v>
      </c>
      <c r="D130" s="169"/>
      <c r="G130">
        <f>IF(ISNUMBER(AVERAGE(G72:G77,G90,G88,G87)),AVERAGE(G72:G77,G87:G88,G90),"")</f>
        <v>15.333333333333334</v>
      </c>
      <c r="H130">
        <f t="shared" ref="H130:R130" si="157">IF(ISNUMBER(AVERAGE(H72:H77,H90,H88,H87)),AVERAGE(H72:H77,H87:H88,H90),"")</f>
        <v>25.833333333333332</v>
      </c>
      <c r="I130">
        <f t="shared" si="157"/>
        <v>26.333333333333332</v>
      </c>
      <c r="J130">
        <f t="shared" si="157"/>
        <v>1.25</v>
      </c>
      <c r="K130">
        <f t="shared" si="157"/>
        <v>14.25</v>
      </c>
      <c r="L130">
        <f t="shared" si="157"/>
        <v>4.833333333333333</v>
      </c>
      <c r="M130">
        <f t="shared" si="157"/>
        <v>20.75</v>
      </c>
      <c r="N130">
        <f t="shared" si="157"/>
        <v>21</v>
      </c>
      <c r="O130">
        <f t="shared" si="157"/>
        <v>25.4</v>
      </c>
      <c r="P130">
        <f t="shared" si="157"/>
        <v>9</v>
      </c>
      <c r="Q130">
        <f t="shared" si="157"/>
        <v>21.5</v>
      </c>
      <c r="R130">
        <f t="shared" si="157"/>
        <v>10.25</v>
      </c>
      <c r="T130">
        <f>STDEV(G72:G77,G90,G88,G87)</f>
        <v>20.033305601755625</v>
      </c>
      <c r="U130">
        <f t="shared" ref="U130:AE130" si="158">STDEV(H72:H77,H90,H88,H87)</f>
        <v>37.188259796159684</v>
      </c>
      <c r="V130">
        <f t="shared" si="158"/>
        <v>37.087284433706749</v>
      </c>
      <c r="W130">
        <f t="shared" si="158"/>
        <v>2.5</v>
      </c>
      <c r="X130">
        <f t="shared" si="158"/>
        <v>28.5</v>
      </c>
      <c r="Y130">
        <f t="shared" si="158"/>
        <v>5.5287129303904603</v>
      </c>
      <c r="Z130">
        <f t="shared" si="158"/>
        <v>17.557049866079439</v>
      </c>
      <c r="AA130">
        <f t="shared" si="158"/>
        <v>29.698484809834994</v>
      </c>
      <c r="AB130">
        <f t="shared" si="158"/>
        <v>17.487138130637614</v>
      </c>
      <c r="AC130">
        <f t="shared" si="158"/>
        <v>9.3808315196468595</v>
      </c>
      <c r="AD130">
        <f t="shared" si="158"/>
        <v>30.405591591021544</v>
      </c>
      <c r="AE130">
        <f t="shared" si="158"/>
        <v>10.144785195688801</v>
      </c>
      <c r="AG130">
        <f>COUNT(G72:G77,G90,G88,G87)</f>
        <v>3</v>
      </c>
      <c r="AH130">
        <f t="shared" ref="AH130:AR130" si="159">COUNT(H72:H77,H90,H88,H87)</f>
        <v>6</v>
      </c>
      <c r="AI130">
        <f t="shared" si="159"/>
        <v>6</v>
      </c>
      <c r="AJ130">
        <f t="shared" si="159"/>
        <v>4</v>
      </c>
      <c r="AK130">
        <f t="shared" si="159"/>
        <v>4</v>
      </c>
      <c r="AL130">
        <f t="shared" si="159"/>
        <v>6</v>
      </c>
      <c r="AM130">
        <f t="shared" si="159"/>
        <v>4</v>
      </c>
      <c r="AN130">
        <f t="shared" si="159"/>
        <v>2</v>
      </c>
      <c r="AO130">
        <f t="shared" si="159"/>
        <v>5</v>
      </c>
      <c r="AP130">
        <f t="shared" si="159"/>
        <v>4</v>
      </c>
      <c r="AQ130">
        <f t="shared" si="159"/>
        <v>2</v>
      </c>
      <c r="AR130">
        <f t="shared" si="159"/>
        <v>4</v>
      </c>
      <c r="AT130" s="169">
        <f t="shared" ref="AT130:BE130" si="160">MIN(G72:G77)</f>
        <v>0</v>
      </c>
      <c r="AU130" s="169">
        <f t="shared" si="160"/>
        <v>1</v>
      </c>
      <c r="AV130" s="169">
        <f t="shared" si="160"/>
        <v>1</v>
      </c>
      <c r="AW130" s="169">
        <f t="shared" si="160"/>
        <v>0</v>
      </c>
      <c r="AX130" s="169">
        <f t="shared" si="160"/>
        <v>0</v>
      </c>
      <c r="AY130" s="169">
        <f t="shared" si="160"/>
        <v>0</v>
      </c>
      <c r="AZ130" s="169">
        <f t="shared" si="160"/>
        <v>3</v>
      </c>
      <c r="BA130" s="169">
        <f t="shared" si="160"/>
        <v>0</v>
      </c>
      <c r="BB130" s="169">
        <f t="shared" si="160"/>
        <v>3</v>
      </c>
      <c r="BC130" s="169">
        <f t="shared" si="160"/>
        <v>1</v>
      </c>
      <c r="BD130" s="169">
        <f t="shared" si="160"/>
        <v>0</v>
      </c>
      <c r="BE130" s="169">
        <f t="shared" si="160"/>
        <v>1</v>
      </c>
      <c r="BF130" s="169"/>
      <c r="BG130" s="169">
        <f t="shared" ref="BG130:BR130" si="161">MAX(G72:G77)</f>
        <v>38</v>
      </c>
      <c r="BH130" s="169">
        <f t="shared" si="161"/>
        <v>100</v>
      </c>
      <c r="BI130" s="169">
        <f t="shared" si="161"/>
        <v>100</v>
      </c>
      <c r="BJ130" s="169">
        <f t="shared" si="161"/>
        <v>5</v>
      </c>
      <c r="BK130" s="169">
        <f t="shared" si="161"/>
        <v>57</v>
      </c>
      <c r="BL130">
        <f t="shared" si="161"/>
        <v>7</v>
      </c>
      <c r="BM130">
        <f t="shared" si="161"/>
        <v>45</v>
      </c>
      <c r="BN130">
        <f t="shared" si="161"/>
        <v>42</v>
      </c>
      <c r="BO130">
        <f t="shared" si="161"/>
        <v>46</v>
      </c>
      <c r="BP130">
        <f t="shared" si="161"/>
        <v>19</v>
      </c>
      <c r="BQ130">
        <f t="shared" si="161"/>
        <v>43</v>
      </c>
      <c r="BR130">
        <f t="shared" si="161"/>
        <v>20</v>
      </c>
      <c r="EB130" s="4"/>
      <c r="EC130" s="4"/>
      <c r="ED130" s="4"/>
      <c r="EE130" s="4"/>
      <c r="EF130" s="4"/>
      <c r="EG130" s="4"/>
      <c r="EH130" s="4"/>
      <c r="EI130" s="4"/>
      <c r="EJ130" s="4"/>
    </row>
    <row r="131" spans="2:140">
      <c r="B131" s="367"/>
      <c r="C131" t="str">
        <f>C79</f>
        <v>Schroefpomp</v>
      </c>
      <c r="D131" s="169"/>
      <c r="G131">
        <f>IF(ISNUMBER(AVERAGE(G79:G80,G89,G101,G105)),AVERAGE(G79:G80,G89,G101,G105),"")</f>
        <v>67</v>
      </c>
      <c r="H131">
        <f t="shared" ref="H131:R131" si="162">IF(ISNUMBER(AVERAGE(H79:H80,H89,H101,H105)),AVERAGE(H79:H80,H89,H101,H105),"")</f>
        <v>17.8</v>
      </c>
      <c r="I131">
        <f t="shared" si="162"/>
        <v>19.2</v>
      </c>
      <c r="J131">
        <f t="shared" si="162"/>
        <v>9.6666666666666661</v>
      </c>
      <c r="K131">
        <f t="shared" si="162"/>
        <v>0</v>
      </c>
      <c r="L131">
        <f t="shared" si="162"/>
        <v>9.6666666666666661</v>
      </c>
      <c r="M131">
        <f t="shared" si="162"/>
        <v>18.333333333333332</v>
      </c>
      <c r="N131">
        <f t="shared" si="162"/>
        <v>0</v>
      </c>
      <c r="O131">
        <f t="shared" si="162"/>
        <v>24.5</v>
      </c>
      <c r="P131">
        <f t="shared" si="162"/>
        <v>21</v>
      </c>
      <c r="Q131">
        <f t="shared" si="162"/>
        <v>32</v>
      </c>
      <c r="R131">
        <f t="shared" si="162"/>
        <v>21.5</v>
      </c>
      <c r="T131">
        <f>STDEV(G79:G80,G89,G101,G105)</f>
        <v>57.157676649772952</v>
      </c>
      <c r="U131">
        <f t="shared" ref="U131:AE131" si="163">STDEV(H79:H80,H89,H101,H105)</f>
        <v>22.498888861452691</v>
      </c>
      <c r="V131">
        <f t="shared" si="163"/>
        <v>24.631280924872748</v>
      </c>
      <c r="W131">
        <f t="shared" si="163"/>
        <v>16.743157806499148</v>
      </c>
      <c r="X131">
        <f t="shared" si="163"/>
        <v>0</v>
      </c>
      <c r="Y131">
        <f t="shared" si="163"/>
        <v>16.743157806499148</v>
      </c>
      <c r="Z131">
        <f t="shared" si="163"/>
        <v>25.146238950056393</v>
      </c>
      <c r="AA131" t="e">
        <f t="shared" si="163"/>
        <v>#DIV/0!</v>
      </c>
      <c r="AB131">
        <f t="shared" si="163"/>
        <v>34.648232278140831</v>
      </c>
      <c r="AC131">
        <f t="shared" si="163"/>
        <v>21.213203435596427</v>
      </c>
      <c r="AD131">
        <f t="shared" si="163"/>
        <v>45.254833995939045</v>
      </c>
      <c r="AE131">
        <f t="shared" si="163"/>
        <v>22.037846234754127</v>
      </c>
      <c r="AG131">
        <f>COUNT(G79:G80,G89,G101,G105)</f>
        <v>3</v>
      </c>
      <c r="AH131">
        <f t="shared" ref="AH131:AR131" si="164">COUNT(H79:H80,H89,H101,H105)</f>
        <v>5</v>
      </c>
      <c r="AI131">
        <f t="shared" si="164"/>
        <v>5</v>
      </c>
      <c r="AJ131">
        <f t="shared" si="164"/>
        <v>3</v>
      </c>
      <c r="AK131">
        <f t="shared" si="164"/>
        <v>2</v>
      </c>
      <c r="AL131">
        <f t="shared" si="164"/>
        <v>3</v>
      </c>
      <c r="AM131">
        <f t="shared" si="164"/>
        <v>3</v>
      </c>
      <c r="AN131">
        <f t="shared" si="164"/>
        <v>1</v>
      </c>
      <c r="AO131">
        <f t="shared" si="164"/>
        <v>2</v>
      </c>
      <c r="AP131">
        <f t="shared" si="164"/>
        <v>4</v>
      </c>
      <c r="AQ131">
        <f t="shared" si="164"/>
        <v>2</v>
      </c>
      <c r="AR131">
        <f t="shared" si="164"/>
        <v>4</v>
      </c>
      <c r="AT131" s="169">
        <f t="shared" ref="AT131:BE131" si="165">MIN(G79:G80)</f>
        <v>100</v>
      </c>
      <c r="AU131" s="169">
        <f t="shared" si="165"/>
        <v>29</v>
      </c>
      <c r="AV131" s="169">
        <f t="shared" si="165"/>
        <v>29</v>
      </c>
      <c r="AW131" s="169">
        <f t="shared" si="165"/>
        <v>29</v>
      </c>
      <c r="AX131" s="169">
        <f t="shared" si="165"/>
        <v>0</v>
      </c>
      <c r="AY131" s="169">
        <f t="shared" si="165"/>
        <v>29</v>
      </c>
      <c r="AZ131" s="169">
        <f t="shared" si="165"/>
        <v>47</v>
      </c>
      <c r="BA131" s="169">
        <f t="shared" si="165"/>
        <v>0</v>
      </c>
      <c r="BB131" s="169">
        <f t="shared" si="165"/>
        <v>49</v>
      </c>
      <c r="BC131" s="169">
        <f t="shared" si="165"/>
        <v>29</v>
      </c>
      <c r="BD131" s="169">
        <f t="shared" si="165"/>
        <v>64</v>
      </c>
      <c r="BE131" s="169">
        <f t="shared" si="165"/>
        <v>29</v>
      </c>
      <c r="BF131" s="169"/>
      <c r="BG131" s="169">
        <f t="shared" ref="BG131:BR131" si="166">MAX(G79:G80)</f>
        <v>100</v>
      </c>
      <c r="BH131" s="169">
        <f t="shared" si="166"/>
        <v>52</v>
      </c>
      <c r="BI131" s="169">
        <f t="shared" si="166"/>
        <v>58</v>
      </c>
      <c r="BJ131" s="169">
        <f t="shared" si="166"/>
        <v>29</v>
      </c>
      <c r="BK131" s="169">
        <f t="shared" si="166"/>
        <v>0</v>
      </c>
      <c r="BL131">
        <f t="shared" si="166"/>
        <v>29</v>
      </c>
      <c r="BM131">
        <f t="shared" si="166"/>
        <v>47</v>
      </c>
      <c r="BN131">
        <f t="shared" si="166"/>
        <v>0</v>
      </c>
      <c r="BO131">
        <f t="shared" si="166"/>
        <v>49</v>
      </c>
      <c r="BP131">
        <f t="shared" si="166"/>
        <v>47</v>
      </c>
      <c r="BQ131">
        <f t="shared" si="166"/>
        <v>64</v>
      </c>
      <c r="BR131">
        <f t="shared" si="166"/>
        <v>49</v>
      </c>
      <c r="EB131" s="4"/>
      <c r="EC131" s="4"/>
      <c r="ED131" s="4"/>
      <c r="EE131" s="4"/>
      <c r="EF131" s="4"/>
      <c r="EG131" s="4"/>
      <c r="EH131" s="4"/>
      <c r="EI131" s="4"/>
      <c r="EJ131" s="4"/>
    </row>
    <row r="132" spans="2:140">
      <c r="B132" s="367"/>
      <c r="C132" t="s">
        <v>211</v>
      </c>
      <c r="D132" s="169"/>
      <c r="G132" t="str">
        <f>IF(ISNUMBER(G82),AVERAGE(G82),"")</f>
        <v/>
      </c>
      <c r="H132">
        <f t="shared" ref="H132:R132" si="167">IF(ISNUMBER(H82),AVERAGE(H82),"")</f>
        <v>0</v>
      </c>
      <c r="I132">
        <f t="shared" si="167"/>
        <v>0</v>
      </c>
      <c r="J132">
        <f t="shared" si="167"/>
        <v>0</v>
      </c>
      <c r="K132">
        <f t="shared" si="167"/>
        <v>0</v>
      </c>
      <c r="L132">
        <f t="shared" si="167"/>
        <v>0</v>
      </c>
      <c r="M132">
        <f t="shared" si="167"/>
        <v>0</v>
      </c>
      <c r="N132">
        <f t="shared" si="167"/>
        <v>0</v>
      </c>
      <c r="O132">
        <f t="shared" si="167"/>
        <v>0</v>
      </c>
      <c r="P132">
        <f t="shared" si="167"/>
        <v>0</v>
      </c>
      <c r="Q132">
        <f t="shared" si="167"/>
        <v>0</v>
      </c>
      <c r="R132">
        <f t="shared" si="167"/>
        <v>0</v>
      </c>
      <c r="T132" t="e">
        <f t="shared" ref="T132:AE132" si="168">STDEV(G82)</f>
        <v>#DIV/0!</v>
      </c>
      <c r="U132" t="e">
        <f t="shared" si="168"/>
        <v>#DIV/0!</v>
      </c>
      <c r="V132" t="e">
        <f t="shared" si="168"/>
        <v>#DIV/0!</v>
      </c>
      <c r="W132" t="e">
        <f t="shared" si="168"/>
        <v>#DIV/0!</v>
      </c>
      <c r="X132" t="e">
        <f t="shared" si="168"/>
        <v>#DIV/0!</v>
      </c>
      <c r="Y132" t="e">
        <f t="shared" si="168"/>
        <v>#DIV/0!</v>
      </c>
      <c r="Z132" t="e">
        <f t="shared" si="168"/>
        <v>#DIV/0!</v>
      </c>
      <c r="AA132" t="e">
        <f t="shared" si="168"/>
        <v>#DIV/0!</v>
      </c>
      <c r="AB132" t="e">
        <f t="shared" si="168"/>
        <v>#DIV/0!</v>
      </c>
      <c r="AC132" t="e">
        <f t="shared" si="168"/>
        <v>#DIV/0!</v>
      </c>
      <c r="AD132" t="e">
        <f t="shared" si="168"/>
        <v>#DIV/0!</v>
      </c>
      <c r="AE132" t="e">
        <f t="shared" si="168"/>
        <v>#DIV/0!</v>
      </c>
      <c r="AG132">
        <f t="shared" ref="AG132:AR132" si="169">COUNT(G82)</f>
        <v>0</v>
      </c>
      <c r="AH132">
        <f t="shared" si="169"/>
        <v>1</v>
      </c>
      <c r="AI132">
        <f t="shared" si="169"/>
        <v>1</v>
      </c>
      <c r="AJ132">
        <f t="shared" si="169"/>
        <v>1</v>
      </c>
      <c r="AK132">
        <f t="shared" si="169"/>
        <v>1</v>
      </c>
      <c r="AL132">
        <f t="shared" si="169"/>
        <v>1</v>
      </c>
      <c r="AM132">
        <f t="shared" si="169"/>
        <v>1</v>
      </c>
      <c r="AN132">
        <f t="shared" si="169"/>
        <v>1</v>
      </c>
      <c r="AO132">
        <f t="shared" si="169"/>
        <v>1</v>
      </c>
      <c r="AP132">
        <f t="shared" si="169"/>
        <v>1</v>
      </c>
      <c r="AQ132">
        <f t="shared" si="169"/>
        <v>1</v>
      </c>
      <c r="AR132">
        <f t="shared" si="169"/>
        <v>1</v>
      </c>
      <c r="AT132" s="169">
        <f t="shared" ref="AT132:BE132" si="170">MIN(G82)</f>
        <v>0</v>
      </c>
      <c r="AU132" s="169">
        <f t="shared" si="170"/>
        <v>0</v>
      </c>
      <c r="AV132" s="169">
        <f t="shared" si="170"/>
        <v>0</v>
      </c>
      <c r="AW132" s="169">
        <f t="shared" si="170"/>
        <v>0</v>
      </c>
      <c r="AX132" s="169">
        <f t="shared" si="170"/>
        <v>0</v>
      </c>
      <c r="AY132" s="169">
        <f t="shared" si="170"/>
        <v>0</v>
      </c>
      <c r="AZ132" s="169">
        <f t="shared" si="170"/>
        <v>0</v>
      </c>
      <c r="BA132" s="169">
        <f t="shared" si="170"/>
        <v>0</v>
      </c>
      <c r="BB132" s="169">
        <f t="shared" si="170"/>
        <v>0</v>
      </c>
      <c r="BC132" s="169">
        <f t="shared" si="170"/>
        <v>0</v>
      </c>
      <c r="BD132" s="169">
        <f t="shared" si="170"/>
        <v>0</v>
      </c>
      <c r="BE132" s="169">
        <f t="shared" si="170"/>
        <v>0</v>
      </c>
      <c r="BF132" s="169"/>
      <c r="BG132" s="169">
        <f t="shared" ref="BG132:BR132" si="171">MAX(G82)</f>
        <v>0</v>
      </c>
      <c r="BH132" s="169">
        <f t="shared" si="171"/>
        <v>0</v>
      </c>
      <c r="BI132" s="169">
        <f t="shared" si="171"/>
        <v>0</v>
      </c>
      <c r="BJ132" s="169">
        <f t="shared" si="171"/>
        <v>0</v>
      </c>
      <c r="BK132" s="169">
        <f t="shared" si="171"/>
        <v>0</v>
      </c>
      <c r="BL132">
        <f t="shared" si="171"/>
        <v>0</v>
      </c>
      <c r="BM132">
        <f t="shared" si="171"/>
        <v>0</v>
      </c>
      <c r="BN132">
        <f t="shared" si="171"/>
        <v>0</v>
      </c>
      <c r="BO132">
        <f t="shared" si="171"/>
        <v>0</v>
      </c>
      <c r="BP132">
        <f t="shared" si="171"/>
        <v>0</v>
      </c>
      <c r="BQ132">
        <f t="shared" si="171"/>
        <v>0</v>
      </c>
      <c r="BR132">
        <f t="shared" si="171"/>
        <v>0</v>
      </c>
      <c r="EB132" s="4"/>
      <c r="EC132" s="4"/>
      <c r="ED132" s="4"/>
      <c r="EE132" s="4"/>
      <c r="EF132" s="4"/>
      <c r="EG132" s="4"/>
      <c r="EH132" s="4"/>
      <c r="EI132" s="4"/>
      <c r="EJ132" s="4"/>
    </row>
    <row r="133" spans="2:140">
      <c r="B133" s="367"/>
      <c r="C133" t="s">
        <v>208</v>
      </c>
      <c r="D133" s="169"/>
      <c r="G133" t="str">
        <f>IF(ISNUMBER(G81),AVERAGE(G81),"")</f>
        <v/>
      </c>
      <c r="H133">
        <f t="shared" ref="H133:R133" si="172">IF(ISNUMBER(H81),AVERAGE(H81),"")</f>
        <v>0</v>
      </c>
      <c r="I133">
        <f t="shared" si="172"/>
        <v>0</v>
      </c>
      <c r="J133" t="str">
        <f t="shared" si="172"/>
        <v/>
      </c>
      <c r="K133" t="str">
        <f t="shared" si="172"/>
        <v/>
      </c>
      <c r="L133" t="str">
        <f t="shared" si="172"/>
        <v/>
      </c>
      <c r="M133">
        <f t="shared" si="172"/>
        <v>0</v>
      </c>
      <c r="N133" t="str">
        <f t="shared" si="172"/>
        <v/>
      </c>
      <c r="O133">
        <f t="shared" si="172"/>
        <v>0</v>
      </c>
      <c r="P133">
        <f t="shared" si="172"/>
        <v>0</v>
      </c>
      <c r="Q133">
        <f t="shared" si="172"/>
        <v>0</v>
      </c>
      <c r="R133">
        <f t="shared" si="172"/>
        <v>0</v>
      </c>
      <c r="T133" t="e">
        <f t="shared" ref="T133:AE133" si="173">STDEV(G81)</f>
        <v>#DIV/0!</v>
      </c>
      <c r="U133" t="e">
        <f t="shared" si="173"/>
        <v>#DIV/0!</v>
      </c>
      <c r="V133" t="e">
        <f t="shared" si="173"/>
        <v>#DIV/0!</v>
      </c>
      <c r="W133" t="e">
        <f t="shared" si="173"/>
        <v>#DIV/0!</v>
      </c>
      <c r="X133" t="e">
        <f t="shared" si="173"/>
        <v>#DIV/0!</v>
      </c>
      <c r="Y133" t="e">
        <f t="shared" si="173"/>
        <v>#DIV/0!</v>
      </c>
      <c r="Z133" t="e">
        <f t="shared" si="173"/>
        <v>#DIV/0!</v>
      </c>
      <c r="AA133" t="e">
        <f t="shared" si="173"/>
        <v>#DIV/0!</v>
      </c>
      <c r="AB133" t="e">
        <f t="shared" si="173"/>
        <v>#DIV/0!</v>
      </c>
      <c r="AC133" t="e">
        <f t="shared" si="173"/>
        <v>#DIV/0!</v>
      </c>
      <c r="AD133" t="e">
        <f t="shared" si="173"/>
        <v>#DIV/0!</v>
      </c>
      <c r="AE133" t="e">
        <f t="shared" si="173"/>
        <v>#DIV/0!</v>
      </c>
      <c r="AG133">
        <f t="shared" ref="AG133:AR133" si="174">COUNT(G81)</f>
        <v>0</v>
      </c>
      <c r="AH133">
        <f t="shared" si="174"/>
        <v>1</v>
      </c>
      <c r="AI133">
        <f t="shared" si="174"/>
        <v>1</v>
      </c>
      <c r="AJ133">
        <f t="shared" si="174"/>
        <v>0</v>
      </c>
      <c r="AK133">
        <f t="shared" si="174"/>
        <v>0</v>
      </c>
      <c r="AL133">
        <f t="shared" si="174"/>
        <v>0</v>
      </c>
      <c r="AM133">
        <f t="shared" si="174"/>
        <v>1</v>
      </c>
      <c r="AN133">
        <f t="shared" si="174"/>
        <v>0</v>
      </c>
      <c r="AO133">
        <f t="shared" si="174"/>
        <v>1</v>
      </c>
      <c r="AP133">
        <f t="shared" si="174"/>
        <v>1</v>
      </c>
      <c r="AQ133">
        <f t="shared" si="174"/>
        <v>1</v>
      </c>
      <c r="AR133">
        <f t="shared" si="174"/>
        <v>1</v>
      </c>
      <c r="AT133" s="169">
        <f t="shared" ref="AT133:BE133" si="175">MIN(G81)</f>
        <v>0</v>
      </c>
      <c r="AU133" s="169">
        <f t="shared" si="175"/>
        <v>0</v>
      </c>
      <c r="AV133" s="169">
        <f t="shared" si="175"/>
        <v>0</v>
      </c>
      <c r="AW133" s="169">
        <f t="shared" si="175"/>
        <v>0</v>
      </c>
      <c r="AX133" s="169">
        <f t="shared" si="175"/>
        <v>0</v>
      </c>
      <c r="AY133" s="169">
        <f t="shared" si="175"/>
        <v>0</v>
      </c>
      <c r="AZ133" s="169">
        <f t="shared" si="175"/>
        <v>0</v>
      </c>
      <c r="BA133" s="169">
        <f t="shared" si="175"/>
        <v>0</v>
      </c>
      <c r="BB133" s="169">
        <f t="shared" si="175"/>
        <v>0</v>
      </c>
      <c r="BC133" s="169">
        <f t="shared" si="175"/>
        <v>0</v>
      </c>
      <c r="BD133" s="169">
        <f t="shared" si="175"/>
        <v>0</v>
      </c>
      <c r="BE133" s="169">
        <f t="shared" si="175"/>
        <v>0</v>
      </c>
      <c r="BF133" s="169"/>
      <c r="BG133" s="169">
        <f t="shared" ref="BG133:BR133" si="176">MAX(G81)</f>
        <v>0</v>
      </c>
      <c r="BH133" s="169">
        <f t="shared" si="176"/>
        <v>0</v>
      </c>
      <c r="BI133" s="169">
        <f t="shared" si="176"/>
        <v>0</v>
      </c>
      <c r="BJ133" s="169">
        <f t="shared" si="176"/>
        <v>0</v>
      </c>
      <c r="BK133" s="169">
        <f t="shared" si="176"/>
        <v>0</v>
      </c>
      <c r="BL133">
        <f t="shared" si="176"/>
        <v>0</v>
      </c>
      <c r="BM133">
        <f t="shared" si="176"/>
        <v>0</v>
      </c>
      <c r="BN133">
        <f t="shared" si="176"/>
        <v>0</v>
      </c>
      <c r="BO133">
        <f t="shared" si="176"/>
        <v>0</v>
      </c>
      <c r="BP133">
        <f t="shared" si="176"/>
        <v>0</v>
      </c>
      <c r="BQ133">
        <f t="shared" si="176"/>
        <v>0</v>
      </c>
      <c r="BR133">
        <f t="shared" si="176"/>
        <v>0</v>
      </c>
      <c r="EB133" s="4"/>
      <c r="EC133" s="4"/>
      <c r="ED133" s="4"/>
      <c r="EE133" s="4"/>
      <c r="EF133" s="4"/>
      <c r="EG133" s="4"/>
      <c r="EH133" s="4"/>
      <c r="EI133" s="4"/>
      <c r="EJ133" s="4"/>
    </row>
    <row r="134" spans="2:140">
      <c r="Q134" s="163"/>
      <c r="S134"/>
      <c r="W134" s="4"/>
      <c r="X134" s="4"/>
      <c r="Y134" s="4"/>
      <c r="DZ134"/>
      <c r="EA134"/>
    </row>
    <row r="135" spans="2:140">
      <c r="P135" s="163"/>
      <c r="S135"/>
      <c r="W135" s="4"/>
      <c r="X135" s="4"/>
      <c r="Y135" s="4"/>
      <c r="DY135"/>
      <c r="DZ135"/>
      <c r="EA135"/>
    </row>
    <row r="136" spans="2:140">
      <c r="P136" s="163"/>
      <c r="S136"/>
      <c r="W136" s="4"/>
      <c r="X136" s="4"/>
      <c r="Y136" s="4"/>
      <c r="DY136"/>
      <c r="DZ136"/>
      <c r="EA136"/>
    </row>
  </sheetData>
  <mergeCells count="3">
    <mergeCell ref="H2:W2"/>
    <mergeCell ref="G3:V3"/>
    <mergeCell ref="AK3:AS3"/>
  </mergeCells>
  <phoneticPr fontId="2" type="noConversion"/>
  <conditionalFormatting sqref="G49:I49 G78:I78 H43:I43 I65 M5:O23 M25:O27 N29:N38 N42:N44 O29:O44 M29:M44 L5:L44 M74:O82 M46:O47 P5:R47 L46:L48 J5:K48 P49:R82 M49:O51 N54:N60 G65 N62:N67 N69:N72 O53:O72 M53:M72 J50:J82 L50:L82 K50:K75 K77:K82 G83:Q88 I91:R91 G89:R90 G92:R99 L89:L100 G99:G100 H100:I100 J95:J101 G101:I102 K101:R101 H107:I107 G103:R106">
    <cfRule type="expression" dxfId="39" priority="20" stopIfTrue="1">
      <formula>IF(ISNUMBER(G5),1,)</formula>
    </cfRule>
  </conditionalFormatting>
  <pageMargins left="0.3" right="0.24" top="0.39370078740157483" bottom="0.28000000000000003" header="0.39370078740157483" footer="0.39370078740157483"/>
  <pageSetup paperSize="9" scale="53" fitToHeight="2"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5</vt:i4>
      </vt:variant>
      <vt:variant>
        <vt:lpstr>Benoemde bereiken</vt:lpstr>
      </vt:variant>
      <vt:variant>
        <vt:i4>2</vt:i4>
      </vt:variant>
    </vt:vector>
  </HeadingPairs>
  <TitlesOfParts>
    <vt:vector size="7" baseType="lpstr">
      <vt:lpstr>Toelichting</vt:lpstr>
      <vt:lpstr>Techniek</vt:lpstr>
      <vt:lpstr>Vis</vt:lpstr>
      <vt:lpstr>Eindbeoordeling</vt:lpstr>
      <vt:lpstr>Consumententabel (achtergrond)</vt:lpstr>
      <vt:lpstr>'Consumententabel (achtergrond)'!Afdrukbereik</vt:lpstr>
      <vt:lpstr>Toelichting!Afdrukbereik</vt:lpstr>
    </vt:vector>
  </TitlesOfParts>
  <Company>Witteveen+Bos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Krug</dc:creator>
  <cp:lastModifiedBy>krug</cp:lastModifiedBy>
  <cp:lastPrinted>2012-03-15T08:46:19Z</cp:lastPrinted>
  <dcterms:created xsi:type="dcterms:W3CDTF">2011-09-21T09:48:55Z</dcterms:created>
  <dcterms:modified xsi:type="dcterms:W3CDTF">2014-03-26T11:04:12Z</dcterms:modified>
</cp:coreProperties>
</file>